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 - POI\2021\12. Diciembre 2021\"/>
    </mc:Choice>
  </mc:AlternateContent>
  <bookViews>
    <workbookView xWindow="-120" yWindow="-120" windowWidth="20736" windowHeight="11160" tabRatio="702" activeTab="1"/>
  </bookViews>
  <sheets>
    <sheet name="PETRÓLEO " sheetId="8237" r:id="rId1"/>
    <sheet name="PETRÓLEO 2019-2021" sheetId="8238" r:id="rId2"/>
  </sheets>
  <definedNames>
    <definedName name="_xlnm._FilterDatabase" localSheetId="0" hidden="1">'PETRÓLEO '!$C$10:$HQ$42</definedName>
    <definedName name="_xlnm._FilterDatabase" localSheetId="1" hidden="1">'PETRÓLEO 2019-2021'!$C$10:$D$42</definedName>
    <definedName name="_xlnm.Print_Area" localSheetId="0">'PETRÓLEO '!$B$4:$IS$88</definedName>
    <definedName name="_xlnm.Print_Area" localSheetId="1">'PETRÓLEO 2019-2021'!$B$4:$AO$88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0" i="8238" l="1"/>
  <c r="AN29" i="8238"/>
  <c r="AN24" i="8238"/>
  <c r="AO33" i="8238"/>
  <c r="AO34" i="8238"/>
  <c r="AO35" i="8238"/>
  <c r="AO36" i="8238"/>
  <c r="AO37" i="8238"/>
  <c r="AO38" i="8238"/>
  <c r="AO39" i="8238"/>
  <c r="AO32" i="8238"/>
  <c r="AO31" i="8238"/>
  <c r="AO26" i="8238"/>
  <c r="AO27" i="8238"/>
  <c r="AO28" i="8238"/>
  <c r="AO25" i="8238"/>
  <c r="AO12" i="8238"/>
  <c r="AO13" i="8238"/>
  <c r="AO14" i="8238"/>
  <c r="AO15" i="8238"/>
  <c r="AO16" i="8238"/>
  <c r="AO17" i="8238"/>
  <c r="AO18" i="8238"/>
  <c r="AO19" i="8238"/>
  <c r="AO20" i="8238"/>
  <c r="AO21" i="8238"/>
  <c r="AO22" i="8238"/>
  <c r="AO23" i="8238"/>
  <c r="AO11" i="8238"/>
  <c r="AN42" i="8238" l="1"/>
  <c r="AO24" i="8238"/>
  <c r="AM40" i="8238"/>
  <c r="AM29" i="8238"/>
  <c r="AM24" i="8238"/>
  <c r="AL40" i="8238"/>
  <c r="AL29" i="8238"/>
  <c r="AL24" i="8238"/>
  <c r="AK40" i="8238"/>
  <c r="AK29" i="8238"/>
  <c r="AK24" i="8238"/>
  <c r="AM42" i="8238" l="1"/>
  <c r="AL42" i="8238"/>
  <c r="AK42" i="8238"/>
  <c r="AO40" i="8238"/>
  <c r="AJ24" i="8238"/>
  <c r="AJ29" i="8238"/>
  <c r="AJ40" i="8238"/>
  <c r="AI40" i="8238"/>
  <c r="AI29" i="8238"/>
  <c r="AI24" i="8238"/>
  <c r="AH40" i="8238"/>
  <c r="AH29" i="8238"/>
  <c r="AH24" i="8238"/>
  <c r="AG40" i="8238"/>
  <c r="AG29" i="8238"/>
  <c r="AG24" i="8238"/>
  <c r="AJ42" i="8238" l="1"/>
  <c r="AO29" i="8238"/>
  <c r="AO42" i="8238" s="1"/>
  <c r="AI42" i="8238"/>
  <c r="AH42" i="8238"/>
  <c r="AG42" i="8238"/>
  <c r="AF40" i="8238" l="1"/>
  <c r="AF29" i="8238"/>
  <c r="AF24" i="8238"/>
  <c r="AF42" i="8238" l="1"/>
  <c r="AE29" i="8238" l="1"/>
  <c r="AE40" i="8238" l="1"/>
  <c r="AE24" i="8238"/>
  <c r="AE42" i="8238" l="1"/>
  <c r="AD24" i="8238"/>
  <c r="AD40" i="8238" l="1"/>
  <c r="AD29" i="8238"/>
  <c r="AD42" i="8238" s="1"/>
  <c r="AC24" i="8238" l="1"/>
  <c r="AC40" i="8238"/>
  <c r="AC29" i="8238"/>
  <c r="AC42" i="8238" l="1"/>
  <c r="AB40" i="8238"/>
  <c r="AB29" i="8238"/>
  <c r="AB24" i="8238"/>
  <c r="AO30" i="8238"/>
  <c r="AA40" i="8238"/>
  <c r="Z40" i="8238"/>
  <c r="Y40" i="8238"/>
  <c r="X40" i="8238"/>
  <c r="W40" i="8238"/>
  <c r="V40" i="8238"/>
  <c r="U40" i="8238"/>
  <c r="T40" i="8238"/>
  <c r="S40" i="8238"/>
  <c r="R40" i="8238"/>
  <c r="Q40" i="8238"/>
  <c r="P40" i="8238"/>
  <c r="J40" i="8238"/>
  <c r="H40" i="8238"/>
  <c r="G40" i="8238"/>
  <c r="F40" i="8238"/>
  <c r="E40" i="8238"/>
  <c r="O39" i="8238"/>
  <c r="N39" i="8238"/>
  <c r="M39" i="8238"/>
  <c r="L39" i="8238"/>
  <c r="K39" i="8238"/>
  <c r="I39" i="8238"/>
  <c r="O36" i="8238"/>
  <c r="N36" i="8238"/>
  <c r="M36" i="8238"/>
  <c r="L36" i="8238"/>
  <c r="K36" i="8238"/>
  <c r="I36" i="8238"/>
  <c r="O35" i="8238"/>
  <c r="N35" i="8238"/>
  <c r="M35" i="8238"/>
  <c r="L35" i="8238"/>
  <c r="I35" i="8238"/>
  <c r="O32" i="8238"/>
  <c r="N32" i="8238"/>
  <c r="M32" i="8238"/>
  <c r="L32" i="8238"/>
  <c r="K32" i="8238"/>
  <c r="I32" i="8238"/>
  <c r="O31" i="8238"/>
  <c r="N31" i="8238"/>
  <c r="M31" i="8238"/>
  <c r="L31" i="8238"/>
  <c r="K31" i="8238"/>
  <c r="I31" i="8238"/>
  <c r="T30" i="8238"/>
  <c r="S30" i="8238"/>
  <c r="R30" i="8238"/>
  <c r="U30" i="8238" s="1"/>
  <c r="AA29" i="8238"/>
  <c r="Z29" i="8238"/>
  <c r="Y29" i="8238"/>
  <c r="X29" i="8238"/>
  <c r="W29" i="8238"/>
  <c r="V29" i="8238"/>
  <c r="U29" i="8238"/>
  <c r="T29" i="8238"/>
  <c r="S29" i="8238"/>
  <c r="R29" i="8238"/>
  <c r="Q29" i="8238"/>
  <c r="P29" i="8238"/>
  <c r="J29" i="8238"/>
  <c r="H29" i="8238"/>
  <c r="G29" i="8238"/>
  <c r="F29" i="8238"/>
  <c r="E29" i="8238"/>
  <c r="O28" i="8238"/>
  <c r="M28" i="8238"/>
  <c r="L28" i="8238"/>
  <c r="I28" i="8238"/>
  <c r="O25" i="8238"/>
  <c r="O29" i="8238" s="1"/>
  <c r="N25" i="8238"/>
  <c r="N29" i="8238" s="1"/>
  <c r="M25" i="8238"/>
  <c r="L25" i="8238"/>
  <c r="K25" i="8238"/>
  <c r="K29" i="8238" s="1"/>
  <c r="I25" i="8238"/>
  <c r="AA24" i="8238"/>
  <c r="Z24" i="8238"/>
  <c r="Y24" i="8238"/>
  <c r="X24" i="8238"/>
  <c r="W24" i="8238"/>
  <c r="V24" i="8238"/>
  <c r="U24" i="8238"/>
  <c r="T24" i="8238"/>
  <c r="S24" i="8238"/>
  <c r="R24" i="8238"/>
  <c r="Q24" i="8238"/>
  <c r="P24" i="8238"/>
  <c r="J24" i="8238"/>
  <c r="H24" i="8238"/>
  <c r="G24" i="8238"/>
  <c r="F24" i="8238"/>
  <c r="E24" i="8238"/>
  <c r="O21" i="8238"/>
  <c r="N21" i="8238"/>
  <c r="M21" i="8238"/>
  <c r="L21" i="8238"/>
  <c r="K21" i="8238"/>
  <c r="I21" i="8238"/>
  <c r="O20" i="8238"/>
  <c r="N20" i="8238"/>
  <c r="M20" i="8238"/>
  <c r="L20" i="8238"/>
  <c r="K20" i="8238"/>
  <c r="I20" i="8238"/>
  <c r="O16" i="8238"/>
  <c r="N16" i="8238"/>
  <c r="M16" i="8238"/>
  <c r="L16" i="8238"/>
  <c r="K16" i="8238"/>
  <c r="I16" i="8238"/>
  <c r="O14" i="8238"/>
  <c r="N14" i="8238"/>
  <c r="M14" i="8238"/>
  <c r="L14" i="8238"/>
  <c r="K14" i="8238"/>
  <c r="I14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24" i="8237" s="1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42" i="8237" s="1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42" i="8237" s="1"/>
  <c r="IJ29" i="8237"/>
  <c r="IJ30" i="8237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U42" i="8237" s="1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M30" i="8237"/>
  <c r="IP30" i="8237" s="1"/>
  <c r="IB40" i="8237" l="1"/>
  <c r="IS29" i="8237"/>
  <c r="IE40" i="8237"/>
  <c r="L24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4" i="8238"/>
  <c r="N24" i="8238"/>
  <c r="HT40" i="8237"/>
  <c r="ID29" i="8237"/>
  <c r="H42" i="8238"/>
  <c r="X30" i="8238"/>
  <c r="I29" i="8238"/>
  <c r="HW42" i="8237"/>
  <c r="IG42" i="8237"/>
  <c r="IS24" i="8237"/>
  <c r="HG42" i="8237"/>
  <c r="IP42" i="8237"/>
  <c r="V42" i="8238"/>
  <c r="G42" i="8238"/>
  <c r="W30" i="8238"/>
  <c r="Z42" i="8238"/>
  <c r="Q42" i="8238"/>
  <c r="T42" i="8238"/>
  <c r="X42" i="8238"/>
  <c r="HQ24" i="8237"/>
  <c r="HH42" i="8237"/>
  <c r="HZ29" i="8237"/>
  <c r="HZ40" i="8237"/>
  <c r="IA42" i="8237"/>
  <c r="IC29" i="8237"/>
  <c r="IS40" i="8237"/>
  <c r="HV42" i="8237"/>
  <c r="IH42" i="8237"/>
  <c r="F42" i="8238"/>
  <c r="ID24" i="8237"/>
  <c r="K24" i="8238"/>
  <c r="HI42" i="8237"/>
  <c r="IC40" i="8237"/>
  <c r="IC24" i="8237"/>
  <c r="IF24" i="8237"/>
  <c r="IO30" i="8237"/>
  <c r="II42" i="8237"/>
  <c r="IK42" i="8237"/>
  <c r="IN42" i="8237"/>
  <c r="R42" i="8238"/>
  <c r="M24" i="8238"/>
  <c r="O24" i="8238"/>
  <c r="L29" i="8238"/>
  <c r="I40" i="8238"/>
  <c r="I42" i="8238" s="1"/>
  <c r="K40" i="8238"/>
  <c r="HS24" i="8237"/>
  <c r="HT17" i="8237"/>
  <c r="HT24" i="8237" s="1"/>
  <c r="IE42" i="8237"/>
  <c r="HK29" i="8237"/>
  <c r="HK42" i="8237" s="1"/>
  <c r="HL27" i="8237"/>
  <c r="IR42" i="8237"/>
  <c r="HJ29" i="8237"/>
  <c r="HJ42" i="8237" s="1"/>
  <c r="HR24" i="8237"/>
  <c r="HT26" i="8237"/>
  <c r="E42" i="8238"/>
  <c r="J42" i="8238"/>
  <c r="S42" i="8238"/>
  <c r="W42" i="8238"/>
  <c r="O40" i="8238"/>
  <c r="M40" i="8238"/>
  <c r="L40" i="8238"/>
  <c r="M29" i="8238"/>
  <c r="N40" i="8238"/>
  <c r="AA42" i="8238"/>
  <c r="U42" i="8238"/>
  <c r="Y42" i="8238"/>
  <c r="P42" i="8238"/>
  <c r="V30" i="8238"/>
  <c r="Y30" i="8238" s="1"/>
  <c r="AB42" i="8238"/>
  <c r="IS42" i="8237" l="1"/>
  <c r="IF42" i="8237"/>
  <c r="ID42" i="8237"/>
  <c r="HZ42" i="8237"/>
  <c r="L42" i="8238"/>
  <c r="IC42" i="8237"/>
  <c r="N42" i="8238"/>
  <c r="K42" i="8238"/>
  <c r="O42" i="8238"/>
  <c r="M42" i="8238"/>
  <c r="HM27" i="8237"/>
  <c r="HL29" i="8237"/>
  <c r="HL42" i="8237" s="1"/>
  <c r="Z30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<sst xmlns="http://schemas.openxmlformats.org/spreadsheetml/2006/main" count="482" uniqueCount="87">
  <si>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</si>
  <si>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</si>
  <si>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</si>
  <si>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</si>
  <si>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</si>
  <si>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</si>
  <si>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</si>
  <si>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</si>
  <si>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</si>
  <si>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</si>
  <si>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</si>
  <si>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</si>
  <si>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</si>
  <si>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</si>
  <si>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</si>
  <si>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</si>
  <si>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</si>
  <si>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</si>
  <si>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</si>
  <si>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</si>
  <si>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</si>
  <si>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</si>
  <si>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</si>
  <si>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</si>
  <si>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</si>
  <si>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</si>
  <si>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</si>
  <si>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</si>
  <si>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</si>
  <si>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</si>
  <si>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</si>
  <si>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</si>
  <si>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</si>
  <si>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</si>
  <si>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</si>
  <si>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</si>
  <si>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</si>
  <si>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</si>
  <si>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</si>
  <si>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</si>
  <si>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</si>
  <si>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</si>
  <si>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</si>
  <si>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</si>
  <si>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</si>
  <si>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</si>
  <si>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</si>
  <si>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</si>
  <si>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</si>
  <si>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</si>
  <si>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</si>
  <si>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</si>
  <si>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</si>
  <si>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</si>
  <si>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</si>
  <si>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</si>
  <si>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</si>
  <si>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</si>
  <si>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</si>
  <si>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</si>
  <si>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</si>
  <si>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</si>
  <si>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</si>
  <si>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</si>
  <si>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</si>
  <si>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</si>
  <si>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</si>
  <si>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</si>
  <si>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</si>
  <si>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</si>
  <si>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</si>
  <si>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</si>
  <si>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</si>
  <si>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</si>
  <si>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</si>
  <si>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</si>
  <si>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</si>
  <si>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</si>
  <si>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</si>
  <si>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</si>
  <si>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</si>
  <si>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</si>
  <si>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</si>
  <si>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</si>
  <si>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</si>
  <si>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DIFERENCIA DIC21-NOV21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</si>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</sst>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603360"/>
        <c:axId val="1"/>
        <c:axId val="0"/>
      </c:bar3DChart>
      <c:dateAx>
        <c:axId val="971603360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6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2019-2021'!$AB$1:$AN$1</c:f>
              <c:numCache>
                <c:formatCode>mmm\-yy</c:formatCode>
                <c:ptCount val="13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</c:numCache>
            </c:numRef>
          </c:cat>
          <c:val>
            <c:numRef>
              <c:f>'PETRÓLEO 2019-2021'!$AB$42:$AN$42</c:f>
              <c:numCache>
                <c:formatCode>#,##0</c:formatCode>
                <c:ptCount val="13"/>
                <c:pt idx="0">
                  <c:v>31624</c:v>
                </c:pt>
                <c:pt idx="1">
                  <c:v>35387</c:v>
                </c:pt>
                <c:pt idx="2">
                  <c:v>35037</c:v>
                </c:pt>
                <c:pt idx="3">
                  <c:v>34823</c:v>
                </c:pt>
                <c:pt idx="4">
                  <c:v>36452</c:v>
                </c:pt>
                <c:pt idx="5">
                  <c:v>41128.032258064515</c:v>
                </c:pt>
                <c:pt idx="6">
                  <c:v>38881.399999999994</c:v>
                </c:pt>
                <c:pt idx="7">
                  <c:v>38887.645161290318</c:v>
                </c:pt>
                <c:pt idx="8">
                  <c:v>37699.645161290318</c:v>
                </c:pt>
                <c:pt idx="9">
                  <c:v>41292</c:v>
                </c:pt>
                <c:pt idx="10">
                  <c:v>44285</c:v>
                </c:pt>
                <c:pt idx="11">
                  <c:v>37924</c:v>
                </c:pt>
                <c:pt idx="12">
                  <c:v>38603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591296"/>
        <c:axId val="1"/>
        <c:axId val="0"/>
      </c:bar3DChart>
      <c:dateAx>
        <c:axId val="971591296"/>
        <c:scaling>
          <c:orientation val="minMax"/>
          <c:max val="44531"/>
          <c:min val="44166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5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27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1045029</xdr:colOff>
      <xdr:row>45</xdr:row>
      <xdr:rowOff>20453</xdr:rowOff>
    </xdr:from>
    <xdr:to>
      <xdr:col>37</xdr:col>
      <xdr:colOff>637804</xdr:colOff>
      <xdr:row>82</xdr:row>
      <xdr:rowOff>62182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5" width="12" style="1" hidden="1" customWidth="1"/>
    <col min="6" max="6" width="16.33203125" style="1" hidden="1" customWidth="1"/>
    <col min="7" max="7" width="17.6640625" style="1" hidden="1" customWidth="1"/>
    <col min="8" max="8" width="12.109375" style="1" hidden="1" customWidth="1"/>
    <col min="9" max="9" width="17.88671875" style="1" hidden="1" customWidth="1"/>
    <col min="10" max="12" width="16.33203125" style="1" hidden="1" customWidth="1"/>
    <col min="13" max="13" width="9.44140625" style="1" hidden="1" customWidth="1"/>
    <col min="14" max="14" width="9.5546875" style="1" hidden="1" customWidth="1"/>
    <col min="15" max="15" width="11.5546875" style="1" hidden="1" customWidth="1"/>
    <col min="16" max="17" width="11.109375" style="1" hidden="1" customWidth="1"/>
    <col min="18" max="18" width="10.88671875" style="1" hidden="1" customWidth="1"/>
    <col min="19" max="19" width="0.109375" style="1" hidden="1" customWidth="1"/>
    <col min="20" max="20" width="11.5546875" style="1" hidden="1" customWidth="1"/>
    <col min="21" max="22" width="12.109375" style="1" hidden="1" customWidth="1"/>
    <col min="23" max="23" width="10.44140625" style="1" hidden="1" customWidth="1"/>
    <col min="24" max="24" width="10.6640625" style="1" hidden="1" customWidth="1"/>
    <col min="25" max="29" width="10" style="1" hidden="1" customWidth="1"/>
    <col min="30" max="33" width="10.44140625" style="1" hidden="1" customWidth="1"/>
    <col min="34" max="34" width="9.6640625" style="1" hidden="1" customWidth="1"/>
    <col min="35" max="35" width="10.88671875" style="1" hidden="1" customWidth="1"/>
    <col min="36" max="37" width="10.44140625" style="1" hidden="1" customWidth="1"/>
    <col min="38" max="38" width="10.88671875" style="1" hidden="1" customWidth="1"/>
    <col min="39" max="40" width="10.44140625" style="1" hidden="1" customWidth="1"/>
    <col min="41" max="41" width="12.6640625" style="1" hidden="1" customWidth="1"/>
    <col min="42" max="42" width="10.44140625" style="1" hidden="1" customWidth="1"/>
    <col min="43" max="43" width="11.88671875" style="1" hidden="1" customWidth="1"/>
    <col min="44" max="44" width="13.6640625" style="1" hidden="1" customWidth="1"/>
    <col min="45" max="46" width="10.44140625" style="1" hidden="1" customWidth="1"/>
    <col min="47" max="48" width="10.33203125" style="1" hidden="1" customWidth="1"/>
    <col min="49" max="49" width="10.6640625" style="1" hidden="1" customWidth="1"/>
    <col min="50" max="50" width="11.6640625" style="1" hidden="1" customWidth="1"/>
    <col min="51" max="52" width="10.44140625" style="1" hidden="1" customWidth="1"/>
    <col min="53" max="53" width="13.6640625" style="1" hidden="1" customWidth="1"/>
    <col min="54" max="54" width="10.6640625" style="1" hidden="1" customWidth="1"/>
    <col min="55" max="55" width="12.44140625" style="1" hidden="1" customWidth="1"/>
    <col min="56" max="56" width="11.6640625" style="1" hidden="1" customWidth="1"/>
    <col min="57" max="58" width="10.6640625" style="1" hidden="1" customWidth="1"/>
    <col min="59" max="61" width="10.6640625" style="3" hidden="1" customWidth="1"/>
    <col min="62" max="62" width="11.6640625" style="3" hidden="1" customWidth="1"/>
    <col min="63" max="64" width="12.88671875" style="1" hidden="1" customWidth="1"/>
    <col min="65" max="65" width="13.44140625" style="1" hidden="1" customWidth="1"/>
    <col min="66" max="72" width="12" style="1" hidden="1" customWidth="1"/>
    <col min="73" max="76" width="12.44140625" style="1" hidden="1" customWidth="1"/>
    <col min="77" max="77" width="13.44140625" style="1" hidden="1" customWidth="1"/>
    <col min="78" max="86" width="12.44140625" style="1" hidden="1" customWidth="1"/>
    <col min="87" max="96" width="14.44140625" style="1" hidden="1" customWidth="1"/>
    <col min="97" max="97" width="16" style="1" hidden="1" customWidth="1"/>
    <col min="98" max="98" width="14.44140625" style="1" hidden="1" customWidth="1"/>
    <col min="99" max="99" width="16.44140625" style="1" hidden="1" customWidth="1"/>
    <col min="100" max="111" width="13.44140625" style="1" hidden="1" customWidth="1"/>
    <col min="112" max="112" width="14.33203125" style="1" hidden="1" customWidth="1"/>
    <col min="113" max="113" width="12.5546875" style="1" hidden="1" customWidth="1"/>
    <col min="114" max="145" width="12" style="1" hidden="1" customWidth="1"/>
    <col min="146" max="186" width="14" style="1" hidden="1" customWidth="1"/>
    <col min="187" max="187" width="14.5546875" style="1" hidden="1" customWidth="1"/>
    <col min="188" max="189" width="13.44140625" style="1" hidden="1" customWidth="1"/>
    <col min="190" max="192" width="14.5546875" style="1" hidden="1" customWidth="1"/>
    <col min="193" max="204" width="15.6640625" style="1" hidden="1" customWidth="1"/>
    <col min="205" max="205" width="14.6640625" style="1" hidden="1" customWidth="1"/>
    <col min="206" max="218" width="15.6640625" style="1" hidden="1" customWidth="1"/>
    <col min="219" max="223" width="17.44140625" style="1" hidden="1" customWidth="1"/>
    <col min="224" max="224" width="17.44140625" style="55" hidden="1" customWidth="1"/>
    <col min="225" max="229" width="17.44140625" style="1" hidden="1" customWidth="1"/>
    <col min="230" max="237" width="16.109375" style="1" hidden="1" customWidth="1"/>
    <col min="238" max="238" width="0.109375" style="1" hidden="1" customWidth="1"/>
    <col min="239" max="239" width="16.109375" style="1" hidden="1" customWidth="1"/>
    <col min="240" max="243" width="16.109375" style="1" customWidth="1"/>
    <col min="244" max="244" width="17" style="1" customWidth="1"/>
    <col min="245" max="245" width="17.5546875" style="1" customWidth="1"/>
    <col min="246" max="246" width="18.109375" style="1" customWidth="1"/>
    <col min="247" max="247" width="18.6640625" style="1" customWidth="1"/>
    <col min="248" max="248" width="17.88671875" style="1" customWidth="1"/>
    <col min="249" max="249" width="17" style="1" customWidth="1"/>
    <col min="250" max="250" width="17.33203125" style="1" customWidth="1"/>
    <col min="251" max="253" width="16.5546875" style="1" customWidth="1"/>
    <col min="254" max="16384" width="11.44140625" style="1"/>
  </cols>
  <sheetData>
    <row r="1" spans="1:256" s="5" customFormat="1" x14ac:dyDescent="0.3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3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3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" x14ac:dyDescent="0.3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22"/>
      <c r="HR4" s="22"/>
      <c r="HS4" s="22"/>
      <c r="HT4" s="22"/>
      <c r="HU4" s="22"/>
    </row>
    <row r="5" spans="1:256" ht="21" customHeight="1" x14ac:dyDescent="0.3">
      <c r="A5" s="123" t="s">
        <v>80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</row>
    <row r="6" spans="1:256" ht="18" customHeight="1" x14ac:dyDescent="0.3">
      <c r="A6" s="121" t="s">
        <v>84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</row>
    <row r="7" spans="1:256" ht="21" x14ac:dyDescent="0.4">
      <c r="A7" s="120" t="s">
        <v>79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</row>
    <row r="8" spans="1:256" ht="16.2" thickBot="1" x14ac:dyDescent="0.35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5">
      <c r="A9" s="6"/>
      <c r="B9" s="6"/>
      <c r="C9" s="85"/>
      <c r="D9" s="86"/>
      <c r="E9" s="105">
        <v>1999</v>
      </c>
      <c r="F9" s="105"/>
      <c r="G9" s="105"/>
      <c r="H9" s="105"/>
      <c r="I9" s="105"/>
      <c r="J9" s="105"/>
      <c r="K9" s="105"/>
      <c r="L9" s="105"/>
      <c r="M9" s="59">
        <v>2000</v>
      </c>
      <c r="N9" s="106" t="s">
        <v>34</v>
      </c>
      <c r="O9" s="106"/>
      <c r="P9" s="106"/>
      <c r="Q9" s="106"/>
      <c r="R9" s="106"/>
      <c r="S9" s="106"/>
      <c r="T9" s="106"/>
      <c r="U9" s="60">
        <v>2001</v>
      </c>
      <c r="V9" s="61"/>
      <c r="W9" s="61"/>
      <c r="X9" s="61"/>
      <c r="Y9" s="61"/>
      <c r="Z9" s="61"/>
      <c r="AA9" s="61"/>
      <c r="AB9" s="116">
        <v>2001</v>
      </c>
      <c r="AC9" s="116"/>
      <c r="AD9" s="116"/>
      <c r="AE9" s="116"/>
      <c r="AF9" s="116"/>
      <c r="AG9" s="89">
        <v>2002</v>
      </c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1"/>
      <c r="AS9" s="125">
        <v>2003</v>
      </c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03">
        <v>2004</v>
      </c>
      <c r="BF9" s="104"/>
      <c r="BG9" s="104"/>
      <c r="BH9" s="104"/>
      <c r="BI9" s="104"/>
      <c r="BJ9" s="104"/>
      <c r="BK9" s="104"/>
      <c r="BL9" s="104"/>
      <c r="BM9" s="104"/>
      <c r="BN9" s="104"/>
      <c r="BO9" s="110">
        <v>2005</v>
      </c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2"/>
      <c r="CA9" s="101">
        <v>2006</v>
      </c>
      <c r="CB9" s="102"/>
      <c r="CC9" s="102"/>
      <c r="CD9" s="102"/>
      <c r="CE9" s="102"/>
      <c r="CF9" s="102"/>
      <c r="CG9" s="102"/>
      <c r="CH9" s="102"/>
      <c r="CI9" s="102"/>
      <c r="CJ9" s="102"/>
      <c r="CK9" s="130">
        <v>2007</v>
      </c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17">
        <v>2008</v>
      </c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7">
        <v>2009</v>
      </c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24">
        <v>2010</v>
      </c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62">
        <v>2011</v>
      </c>
      <c r="EH9" s="62"/>
      <c r="EI9" s="62"/>
      <c r="EJ9" s="62"/>
      <c r="EK9" s="62"/>
      <c r="EL9" s="62"/>
      <c r="EM9" s="82">
        <v>2011</v>
      </c>
      <c r="EN9" s="83"/>
      <c r="EO9" s="84"/>
      <c r="EP9" s="113">
        <v>2012</v>
      </c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5"/>
      <c r="FB9" s="132">
        <v>2013</v>
      </c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4"/>
      <c r="FN9" s="135">
        <v>2014</v>
      </c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09">
        <v>2015</v>
      </c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7">
        <v>2016</v>
      </c>
      <c r="GW9" s="108"/>
      <c r="GX9" s="119">
        <v>2017</v>
      </c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27">
        <v>2018</v>
      </c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9"/>
      <c r="HV9" s="122">
        <v>2019</v>
      </c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>
        <v>2020</v>
      </c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"/>
      <c r="IT9" s="1"/>
      <c r="IU9" s="1"/>
      <c r="IV9" s="1"/>
    </row>
    <row r="10" spans="1:256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3">
      <c r="A11" s="93" t="s">
        <v>68</v>
      </c>
      <c r="B11" s="97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3">
      <c r="A12" s="96"/>
      <c r="B12" s="98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3">
      <c r="A13" s="96"/>
      <c r="B13" s="98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3">
      <c r="A14" s="96"/>
      <c r="B14" s="98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3">
      <c r="A15" s="96"/>
      <c r="B15" s="98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3">
      <c r="A16" s="96"/>
      <c r="B16" s="98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7">
        <v>125069</v>
      </c>
      <c r="P16" s="87">
        <v>132837</v>
      </c>
      <c r="Q16" s="87">
        <v>127982</v>
      </c>
      <c r="R16" s="87">
        <v>134937</v>
      </c>
      <c r="S16" s="87">
        <v>128138</v>
      </c>
      <c r="T16" s="87">
        <v>132222</v>
      </c>
      <c r="U16" s="87">
        <v>127513</v>
      </c>
      <c r="V16" s="87">
        <v>113266</v>
      </c>
      <c r="W16" s="87">
        <v>121026</v>
      </c>
      <c r="X16" s="87">
        <v>130746</v>
      </c>
      <c r="Y16" s="87">
        <v>140659</v>
      </c>
      <c r="Z16" s="87">
        <v>133530</v>
      </c>
      <c r="AA16" s="87">
        <v>141390</v>
      </c>
      <c r="AB16" s="87">
        <v>135945</v>
      </c>
      <c r="AC16" s="87">
        <v>134600</v>
      </c>
      <c r="AD16" s="87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3">
      <c r="A17" s="96"/>
      <c r="B17" s="98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A17" s="88"/>
      <c r="AB17" s="88"/>
      <c r="AC17" s="88"/>
      <c r="AD17" s="8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3">
      <c r="A18" s="96"/>
      <c r="B18" s="98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3">
      <c r="A19" s="96"/>
      <c r="B19" s="98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3">
      <c r="A20" s="96"/>
      <c r="B20" s="98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3">
      <c r="A21" s="96"/>
      <c r="B21" s="98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3">
      <c r="A22" s="96"/>
      <c r="B22" s="98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35">
      <c r="A23" s="96"/>
      <c r="B23" s="98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35">
      <c r="B24" s="29"/>
      <c r="C24" s="95" t="s">
        <v>46</v>
      </c>
      <c r="D24" s="95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35">
      <c r="A25" s="92" t="s">
        <v>41</v>
      </c>
      <c r="B25" s="94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35">
      <c r="A26" s="92"/>
      <c r="B26" s="94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35">
      <c r="A27" s="92"/>
      <c r="B27" s="94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35">
      <c r="A28" s="93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35">
      <c r="B29" s="34"/>
      <c r="C29" s="99" t="s">
        <v>47</v>
      </c>
      <c r="D29" s="99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35">
      <c r="A30" s="92" t="s">
        <v>69</v>
      </c>
      <c r="B30" s="94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35">
      <c r="A31" s="92"/>
      <c r="B31" s="94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35">
      <c r="A32" s="92"/>
      <c r="B32" s="94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35">
      <c r="A33" s="92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35">
      <c r="A34" s="93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3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3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3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3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3">
      <c r="B40" s="44"/>
      <c r="C40" s="81" t="s">
        <v>48</v>
      </c>
      <c r="D40" s="8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3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35">
      <c r="B42" s="45"/>
      <c r="C42" s="80" t="s">
        <v>78</v>
      </c>
      <c r="D42" s="80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3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3">
      <c r="HV44" s="3"/>
      <c r="IM44" s="3"/>
    </row>
    <row r="45" spans="1:256" x14ac:dyDescent="0.3">
      <c r="HW45" s="3"/>
      <c r="ID45" s="3"/>
      <c r="IL45" s="3"/>
      <c r="IQ45" s="3"/>
    </row>
    <row r="47" spans="1:256" x14ac:dyDescent="0.3">
      <c r="HP47" s="71"/>
      <c r="HV47" s="74"/>
    </row>
    <row r="57" spans="3:58" x14ac:dyDescent="0.3">
      <c r="C57" s="10"/>
    </row>
    <row r="59" spans="3:58" x14ac:dyDescent="0.3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3">
      <c r="AC60" s="13"/>
    </row>
    <row r="67" spans="65:223" x14ac:dyDescent="0.3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3"/>
    <row r="91" ht="14.25" customHeight="1" x14ac:dyDescent="0.3"/>
  </sheetData>
  <mergeCells count="54">
    <mergeCell ref="HV9:IG9"/>
    <mergeCell ref="DU9:EF9"/>
    <mergeCell ref="AS9:BD9"/>
    <mergeCell ref="HJ9:HU9"/>
    <mergeCell ref="DI9:DT9"/>
    <mergeCell ref="CK9:CV9"/>
    <mergeCell ref="FB9:FM9"/>
    <mergeCell ref="FN9:FY9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R91"/>
  <sheetViews>
    <sheetView tabSelected="1" view="pageBreakPreview" topLeftCell="C1" zoomScale="70" zoomScaleNormal="70" zoomScaleSheetLayoutView="70" workbookViewId="0">
      <pane xSplit="2" ySplit="10" topLeftCell="AA42" activePane="bottomRight" state="frozen"/>
      <selection activeCell="C1" sqref="C1"/>
      <selection pane="topRight" activeCell="HG1" sqref="HG1"/>
      <selection pane="bottomLeft" activeCell="C11" sqref="C11"/>
      <selection pane="bottomRight" activeCell="AN46" sqref="AN46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12" width="16.109375" style="1" hidden="1" customWidth="1"/>
    <col min="13" max="13" width="0.109375" style="1" hidden="1" customWidth="1"/>
    <col min="14" max="18" width="16.109375" style="1" hidden="1" customWidth="1"/>
    <col min="19" max="19" width="17" style="1" hidden="1" customWidth="1"/>
    <col min="20" max="20" width="17.5546875" style="1" hidden="1" customWidth="1"/>
    <col min="21" max="21" width="18.109375" style="1" hidden="1" customWidth="1"/>
    <col min="22" max="22" width="18.6640625" style="1" hidden="1" customWidth="1"/>
    <col min="23" max="23" width="17.88671875" style="1" hidden="1" customWidth="1"/>
    <col min="24" max="24" width="17" style="1" hidden="1" customWidth="1"/>
    <col min="25" max="25" width="17.33203125" style="1" hidden="1" customWidth="1"/>
    <col min="26" max="27" width="16.5546875" style="1" hidden="1" customWidth="1"/>
    <col min="28" max="40" width="16.5546875" style="1" customWidth="1"/>
    <col min="41" max="41" width="20.109375" style="1" customWidth="1"/>
    <col min="42" max="16384" width="11.44140625" style="1"/>
  </cols>
  <sheetData>
    <row r="1" spans="1:44" s="5" customFormat="1" x14ac:dyDescent="0.3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6">
        <v>44501</v>
      </c>
      <c r="AN1" s="16">
        <v>44531</v>
      </c>
      <c r="AO1" s="1"/>
      <c r="AP1" s="1"/>
      <c r="AQ1" s="1"/>
      <c r="AR1" s="1"/>
    </row>
    <row r="2" spans="1:44" s="5" customFormat="1" x14ac:dyDescent="0.3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5" customFormat="1" x14ac:dyDescent="0.3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" x14ac:dyDescent="0.35">
      <c r="A4" s="100"/>
      <c r="B4" s="100"/>
      <c r="C4" s="100"/>
      <c r="D4" s="100"/>
    </row>
    <row r="5" spans="1:44" ht="21" customHeight="1" x14ac:dyDescent="0.3">
      <c r="A5" s="123" t="s">
        <v>80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</row>
    <row r="6" spans="1:44" ht="18" customHeight="1" x14ac:dyDescent="0.3">
      <c r="A6" s="121" t="s">
        <v>86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4" ht="21" x14ac:dyDescent="0.4">
      <c r="A7" s="120" t="s">
        <v>79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</row>
    <row r="8" spans="1:44" ht="15.6" x14ac:dyDescent="0.3">
      <c r="C8" s="23"/>
      <c r="D8" s="42"/>
    </row>
    <row r="9" spans="1:44" s="5" customFormat="1" ht="25.5" customHeight="1" thickBot="1" x14ac:dyDescent="0.35">
      <c r="A9" s="6"/>
      <c r="B9" s="6"/>
      <c r="C9" s="85"/>
      <c r="D9" s="86"/>
      <c r="E9" s="122">
        <v>2019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37">
        <v>2020</v>
      </c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7">
        <v>2021</v>
      </c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9"/>
      <c r="AO9" s="1"/>
      <c r="AP9" s="1"/>
      <c r="AQ9" s="1"/>
      <c r="AR9" s="1"/>
    </row>
    <row r="10" spans="1:44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78" t="s">
        <v>52</v>
      </c>
      <c r="AD10" s="78" t="s">
        <v>53</v>
      </c>
      <c r="AE10" s="78" t="s">
        <v>54</v>
      </c>
      <c r="AF10" s="78" t="s">
        <v>55</v>
      </c>
      <c r="AG10" s="78" t="s">
        <v>56</v>
      </c>
      <c r="AH10" s="78" t="s">
        <v>57</v>
      </c>
      <c r="AI10" s="78" t="s">
        <v>58</v>
      </c>
      <c r="AJ10" s="78" t="s">
        <v>59</v>
      </c>
      <c r="AK10" s="78" t="s">
        <v>65</v>
      </c>
      <c r="AL10" s="78" t="s">
        <v>61</v>
      </c>
      <c r="AM10" s="78" t="s">
        <v>62</v>
      </c>
      <c r="AN10" s="78" t="s">
        <v>63</v>
      </c>
      <c r="AO10" s="68" t="s">
        <v>85</v>
      </c>
      <c r="AP10" s="1"/>
      <c r="AQ10" s="1"/>
      <c r="AR10" s="1"/>
    </row>
    <row r="11" spans="1:44" s="5" customFormat="1" ht="16.5" customHeight="1" thickTop="1" x14ac:dyDescent="0.3">
      <c r="A11" s="93" t="s">
        <v>68</v>
      </c>
      <c r="B11" s="97" t="s">
        <v>31</v>
      </c>
      <c r="C11" s="27" t="s">
        <v>24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v>500</v>
      </c>
      <c r="AN11" s="17">
        <v>435</v>
      </c>
      <c r="AO11" s="17">
        <f>+AN11-AM11</f>
        <v>-65</v>
      </c>
      <c r="AP11" s="1"/>
      <c r="AQ11" s="1"/>
      <c r="AR11" s="1"/>
    </row>
    <row r="12" spans="1:44" s="5" customFormat="1" ht="16.5" customHeight="1" x14ac:dyDescent="0.3">
      <c r="A12" s="96"/>
      <c r="B12" s="98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v>343</v>
      </c>
      <c r="AN12" s="17">
        <v>376</v>
      </c>
      <c r="AO12" s="17">
        <f t="shared" ref="AO12:AO28" si="0">+AN12-AM12</f>
        <v>33</v>
      </c>
      <c r="AP12" s="1"/>
      <c r="AQ12" s="1"/>
      <c r="AR12" s="1"/>
    </row>
    <row r="13" spans="1:44" s="5" customFormat="1" ht="16.5" customHeight="1" x14ac:dyDescent="0.3">
      <c r="A13" s="96"/>
      <c r="B13" s="98"/>
      <c r="C13" s="27" t="s">
        <v>24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v>484</v>
      </c>
      <c r="AN13" s="17">
        <v>419</v>
      </c>
      <c r="AO13" s="17">
        <f t="shared" si="0"/>
        <v>-65</v>
      </c>
      <c r="AP13" s="1"/>
      <c r="AQ13" s="1"/>
      <c r="AR13" s="1"/>
    </row>
    <row r="14" spans="1:44" s="5" customFormat="1" ht="16.5" customHeight="1" x14ac:dyDescent="0.3">
      <c r="A14" s="96"/>
      <c r="B14" s="98"/>
      <c r="C14" s="27" t="s">
        <v>24</v>
      </c>
      <c r="D14" s="28" t="s">
        <v>2</v>
      </c>
      <c r="E14" s="75">
        <v>1832</v>
      </c>
      <c r="F14" s="75">
        <v>1954.1</v>
      </c>
      <c r="G14" s="75">
        <v>2382</v>
      </c>
      <c r="H14" s="75">
        <v>2574</v>
      </c>
      <c r="I14" s="75">
        <f>83227/31</f>
        <v>2684.7419354838707</v>
      </c>
      <c r="J14" s="75">
        <v>3220</v>
      </c>
      <c r="K14" s="75">
        <f>103886/31</f>
        <v>3351.1612903225805</v>
      </c>
      <c r="L14" s="75">
        <f>94649/31</f>
        <v>3053.1935483870966</v>
      </c>
      <c r="M14" s="75">
        <f>79209/30</f>
        <v>2640.3</v>
      </c>
      <c r="N14" s="75">
        <f>82157/31</f>
        <v>2650.2258064516127</v>
      </c>
      <c r="O14" s="75">
        <f>72335/30</f>
        <v>2411.1666666666665</v>
      </c>
      <c r="P14" s="17">
        <v>2319</v>
      </c>
      <c r="Q14" s="17">
        <v>2263</v>
      </c>
      <c r="R14" s="17">
        <v>2292</v>
      </c>
      <c r="S14" s="17">
        <v>2645</v>
      </c>
      <c r="T14" s="17">
        <v>2408</v>
      </c>
      <c r="U14" s="17">
        <v>2249</v>
      </c>
      <c r="V14" s="17">
        <v>2187</v>
      </c>
      <c r="W14" s="17">
        <v>2134</v>
      </c>
      <c r="X14" s="17">
        <v>2023</v>
      </c>
      <c r="Y14" s="17">
        <v>1960</v>
      </c>
      <c r="Z14" s="17">
        <v>1878</v>
      </c>
      <c r="AA14" s="17">
        <v>1825</v>
      </c>
      <c r="AB14" s="17">
        <v>1891</v>
      </c>
      <c r="AC14" s="17">
        <v>1875</v>
      </c>
      <c r="AD14" s="17">
        <v>1856</v>
      </c>
      <c r="AE14" s="17">
        <v>1688</v>
      </c>
      <c r="AF14" s="17">
        <v>1762</v>
      </c>
      <c r="AG14" s="17">
        <v>1798.8064516129032</v>
      </c>
      <c r="AH14" s="17">
        <v>1671.5</v>
      </c>
      <c r="AI14" s="17">
        <v>1708.3225806451612</v>
      </c>
      <c r="AJ14" s="17">
        <v>1625.0322580645161</v>
      </c>
      <c r="AK14" s="17">
        <v>1974</v>
      </c>
      <c r="AL14" s="17">
        <v>2242</v>
      </c>
      <c r="AM14" s="17">
        <v>2317</v>
      </c>
      <c r="AN14" s="17">
        <v>2192</v>
      </c>
      <c r="AO14" s="17">
        <f t="shared" si="0"/>
        <v>-125</v>
      </c>
      <c r="AP14" s="1"/>
      <c r="AQ14" s="1"/>
      <c r="AR14" s="1"/>
    </row>
    <row r="15" spans="1:44" s="5" customFormat="1" ht="16.5" customHeight="1" x14ac:dyDescent="0.3">
      <c r="A15" s="96"/>
      <c r="B15" s="98"/>
      <c r="C15" s="27" t="s">
        <v>24</v>
      </c>
      <c r="D15" s="28" t="s">
        <v>3</v>
      </c>
      <c r="E15" s="75">
        <v>98</v>
      </c>
      <c r="F15" s="75">
        <v>109.1</v>
      </c>
      <c r="G15" s="75">
        <v>106</v>
      </c>
      <c r="H15" s="75">
        <v>106</v>
      </c>
      <c r="I15" s="75">
        <v>105.61290322580645</v>
      </c>
      <c r="J15" s="75">
        <v>88</v>
      </c>
      <c r="K15" s="75">
        <v>119.61290322580645</v>
      </c>
      <c r="L15" s="75">
        <v>102.64516129032258</v>
      </c>
      <c r="M15" s="75">
        <v>106.83333333333333</v>
      </c>
      <c r="N15" s="75">
        <v>99.677419354838705</v>
      </c>
      <c r="O15" s="75">
        <v>108.6</v>
      </c>
      <c r="P15" s="17">
        <v>110</v>
      </c>
      <c r="Q15" s="17">
        <v>106</v>
      </c>
      <c r="R15" s="17">
        <v>100</v>
      </c>
      <c r="S15" s="17">
        <v>102</v>
      </c>
      <c r="T15" s="17">
        <v>98</v>
      </c>
      <c r="U15" s="17">
        <v>99</v>
      </c>
      <c r="V15" s="17">
        <v>88</v>
      </c>
      <c r="W15" s="17">
        <v>98</v>
      </c>
      <c r="X15" s="17">
        <v>88</v>
      </c>
      <c r="Y15" s="17">
        <v>99</v>
      </c>
      <c r="Z15" s="17">
        <v>81</v>
      </c>
      <c r="AA15" s="17">
        <v>92</v>
      </c>
      <c r="AB15" s="17">
        <v>83</v>
      </c>
      <c r="AC15" s="17">
        <v>85</v>
      </c>
      <c r="AD15" s="17">
        <v>85</v>
      </c>
      <c r="AE15" s="17">
        <v>69</v>
      </c>
      <c r="AF15" s="17">
        <v>81</v>
      </c>
      <c r="AG15" s="17">
        <v>77.903225806451616</v>
      </c>
      <c r="AH15" s="17">
        <v>103.46666666666667</v>
      </c>
      <c r="AI15" s="17">
        <v>107.83870967741936</v>
      </c>
      <c r="AJ15" s="17">
        <v>121.19354838709677</v>
      </c>
      <c r="AK15" s="17">
        <v>100</v>
      </c>
      <c r="AL15" s="17">
        <v>106</v>
      </c>
      <c r="AM15" s="17">
        <v>92</v>
      </c>
      <c r="AN15" s="17">
        <v>92</v>
      </c>
      <c r="AO15" s="17">
        <f t="shared" si="0"/>
        <v>0</v>
      </c>
      <c r="AP15" s="1"/>
      <c r="AQ15" s="1"/>
      <c r="AR15" s="1"/>
    </row>
    <row r="16" spans="1:44" s="5" customFormat="1" ht="15.75" customHeight="1" x14ac:dyDescent="0.3">
      <c r="A16" s="96"/>
      <c r="B16" s="98"/>
      <c r="C16" s="27" t="s">
        <v>17</v>
      </c>
      <c r="D16" s="28" t="s">
        <v>40</v>
      </c>
      <c r="E16" s="75">
        <v>4187</v>
      </c>
      <c r="F16" s="75">
        <v>4157.1000000000004</v>
      </c>
      <c r="G16" s="75">
        <v>4070</v>
      </c>
      <c r="H16" s="75">
        <v>3904</v>
      </c>
      <c r="I16" s="75">
        <f>120055/31</f>
        <v>3872.7419354838707</v>
      </c>
      <c r="J16" s="75">
        <v>3842</v>
      </c>
      <c r="K16" s="75">
        <f>115250/31</f>
        <v>3717.7419354838707</v>
      </c>
      <c r="L16" s="75">
        <f>116677/31</f>
        <v>3763.7741935483873</v>
      </c>
      <c r="M16" s="75">
        <f>112577/30</f>
        <v>3752.5666666666666</v>
      </c>
      <c r="N16" s="75">
        <f>120051/31</f>
        <v>3872.6129032258063</v>
      </c>
      <c r="O16" s="75">
        <f>115749/30</f>
        <v>3858.3</v>
      </c>
      <c r="P16" s="17">
        <v>3787</v>
      </c>
      <c r="Q16" s="17">
        <v>3843</v>
      </c>
      <c r="R16" s="17">
        <v>3663</v>
      </c>
      <c r="S16" s="17">
        <v>3721</v>
      </c>
      <c r="T16" s="17">
        <v>3518</v>
      </c>
      <c r="U16" s="17">
        <v>3406</v>
      </c>
      <c r="V16" s="17">
        <v>3548</v>
      </c>
      <c r="W16" s="17">
        <v>3469</v>
      </c>
      <c r="X16" s="17">
        <v>3534</v>
      </c>
      <c r="Y16" s="17">
        <v>3507</v>
      </c>
      <c r="Z16" s="17">
        <v>3428</v>
      </c>
      <c r="AA16" s="17">
        <v>3293</v>
      </c>
      <c r="AB16" s="17">
        <v>2818</v>
      </c>
      <c r="AC16" s="17">
        <v>3360</v>
      </c>
      <c r="AD16" s="17">
        <v>3485</v>
      </c>
      <c r="AE16" s="17">
        <v>3437</v>
      </c>
      <c r="AF16" s="17">
        <v>3515</v>
      </c>
      <c r="AG16" s="17">
        <v>3951.9677419354839</v>
      </c>
      <c r="AH16" s="17">
        <v>4407.6333333333332</v>
      </c>
      <c r="AI16" s="17">
        <v>4326.7741935483873</v>
      </c>
      <c r="AJ16" s="17">
        <v>4471.3870967741932</v>
      </c>
      <c r="AK16" s="17">
        <v>4109</v>
      </c>
      <c r="AL16" s="17">
        <v>4097</v>
      </c>
      <c r="AM16" s="17">
        <v>4022</v>
      </c>
      <c r="AN16" s="17">
        <v>4014</v>
      </c>
      <c r="AO16" s="17">
        <f t="shared" si="0"/>
        <v>-8</v>
      </c>
      <c r="AP16" s="1"/>
      <c r="AQ16" s="1"/>
      <c r="AR16" s="1"/>
    </row>
    <row r="17" spans="1:44" s="5" customFormat="1" ht="16.5" hidden="1" customHeight="1" x14ac:dyDescent="0.3">
      <c r="A17" s="96"/>
      <c r="B17" s="98"/>
      <c r="C17" s="27" t="s">
        <v>17</v>
      </c>
      <c r="D17" s="28" t="s">
        <v>4</v>
      </c>
      <c r="E17" s="1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0</v>
      </c>
      <c r="AG17" s="17">
        <v>0</v>
      </c>
      <c r="AH17" s="17">
        <v>0</v>
      </c>
      <c r="AI17" s="17"/>
      <c r="AJ17" s="17"/>
      <c r="AK17" s="17"/>
      <c r="AL17" s="17"/>
      <c r="AM17" s="17"/>
      <c r="AN17" s="17"/>
      <c r="AO17" s="17">
        <f t="shared" si="0"/>
        <v>0</v>
      </c>
      <c r="AP17" s="1"/>
      <c r="AQ17" s="1"/>
      <c r="AR17" s="1"/>
    </row>
    <row r="18" spans="1:44" s="5" customFormat="1" ht="16.5" customHeight="1" x14ac:dyDescent="0.3">
      <c r="A18" s="96"/>
      <c r="B18" s="98"/>
      <c r="C18" s="27" t="s">
        <v>25</v>
      </c>
      <c r="D18" s="28" t="s">
        <v>5</v>
      </c>
      <c r="E18" s="75">
        <v>174</v>
      </c>
      <c r="F18" s="75">
        <v>171.1</v>
      </c>
      <c r="G18" s="75">
        <v>173</v>
      </c>
      <c r="H18" s="75">
        <v>171</v>
      </c>
      <c r="I18" s="75">
        <v>165.29032258064515</v>
      </c>
      <c r="J18" s="75">
        <v>171</v>
      </c>
      <c r="K18" s="75">
        <v>171.16129032258064</v>
      </c>
      <c r="L18" s="75">
        <v>161.35483870967741</v>
      </c>
      <c r="M18" s="75">
        <v>166.76666666666668</v>
      </c>
      <c r="N18" s="75">
        <v>170.74193548387098</v>
      </c>
      <c r="O18" s="75">
        <v>167.96666666666667</v>
      </c>
      <c r="P18" s="17">
        <v>168</v>
      </c>
      <c r="Q18" s="17">
        <v>168</v>
      </c>
      <c r="R18" s="17">
        <v>168</v>
      </c>
      <c r="S18" s="17">
        <v>165</v>
      </c>
      <c r="T18" s="17">
        <v>166</v>
      </c>
      <c r="U18" s="17">
        <v>158</v>
      </c>
      <c r="V18" s="17">
        <v>156</v>
      </c>
      <c r="W18" s="17">
        <v>156</v>
      </c>
      <c r="X18" s="17">
        <v>155</v>
      </c>
      <c r="Y18" s="17">
        <v>163</v>
      </c>
      <c r="Z18" s="17">
        <v>167</v>
      </c>
      <c r="AA18" s="17">
        <v>152</v>
      </c>
      <c r="AB18" s="17">
        <v>167</v>
      </c>
      <c r="AC18" s="17">
        <v>158</v>
      </c>
      <c r="AD18" s="17">
        <v>155</v>
      </c>
      <c r="AE18" s="17">
        <v>154</v>
      </c>
      <c r="AF18" s="17">
        <v>151</v>
      </c>
      <c r="AG18" s="17">
        <v>153.45161290322579</v>
      </c>
      <c r="AH18" s="17">
        <v>165.03333333333333</v>
      </c>
      <c r="AI18" s="17">
        <v>151.7741935483871</v>
      </c>
      <c r="AJ18" s="17">
        <v>152.90322580645162</v>
      </c>
      <c r="AK18" s="17">
        <v>151</v>
      </c>
      <c r="AL18" s="17">
        <v>153</v>
      </c>
      <c r="AM18" s="17">
        <v>160</v>
      </c>
      <c r="AN18" s="17">
        <v>155</v>
      </c>
      <c r="AO18" s="17">
        <f t="shared" si="0"/>
        <v>-5</v>
      </c>
      <c r="AP18" s="1"/>
      <c r="AQ18" s="1"/>
      <c r="AR18" s="1"/>
    </row>
    <row r="19" spans="1:44" s="5" customFormat="1" ht="16.5" hidden="1" customHeight="1" x14ac:dyDescent="0.3">
      <c r="A19" s="96"/>
      <c r="B19" s="98"/>
      <c r="C19" s="27" t="s">
        <v>21</v>
      </c>
      <c r="D19" s="28" t="s">
        <v>6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>
        <f t="shared" si="0"/>
        <v>0</v>
      </c>
      <c r="AP19" s="1"/>
      <c r="AQ19" s="1"/>
      <c r="AR19" s="1"/>
    </row>
    <row r="20" spans="1:44" s="5" customFormat="1" ht="16.5" customHeight="1" x14ac:dyDescent="0.3">
      <c r="A20" s="96"/>
      <c r="B20" s="98"/>
      <c r="C20" s="27" t="s">
        <v>76</v>
      </c>
      <c r="D20" s="28" t="s">
        <v>6</v>
      </c>
      <c r="E20" s="75">
        <v>13636</v>
      </c>
      <c r="F20" s="75">
        <v>13663</v>
      </c>
      <c r="G20" s="75">
        <v>13886</v>
      </c>
      <c r="H20" s="75">
        <v>14174.96</v>
      </c>
      <c r="I20" s="75">
        <f>445432/31</f>
        <v>14368.774193548386</v>
      </c>
      <c r="J20" s="75">
        <v>14391</v>
      </c>
      <c r="K20" s="75">
        <f>446939/31</f>
        <v>14417.387096774193</v>
      </c>
      <c r="L20" s="75">
        <f>411601/31</f>
        <v>13277.451612903225</v>
      </c>
      <c r="M20" s="75">
        <f>456346/30</f>
        <v>15211.533333333333</v>
      </c>
      <c r="N20" s="75">
        <f>471561/31</f>
        <v>15211.645161290322</v>
      </c>
      <c r="O20" s="75">
        <f>455211/30</f>
        <v>15173.7</v>
      </c>
      <c r="P20" s="17">
        <v>14446</v>
      </c>
      <c r="Q20" s="17">
        <v>14902</v>
      </c>
      <c r="R20" s="17">
        <v>14791</v>
      </c>
      <c r="S20" s="17">
        <v>14380</v>
      </c>
      <c r="T20" s="17">
        <v>13238</v>
      </c>
      <c r="U20" s="17">
        <v>13259</v>
      </c>
      <c r="V20" s="17">
        <v>12784</v>
      </c>
      <c r="W20" s="17">
        <v>12621</v>
      </c>
      <c r="X20" s="17">
        <v>12447</v>
      </c>
      <c r="Y20" s="17">
        <v>12312</v>
      </c>
      <c r="Z20" s="17">
        <v>12183</v>
      </c>
      <c r="AA20" s="17">
        <v>12220</v>
      </c>
      <c r="AB20" s="17">
        <v>12222</v>
      </c>
      <c r="AC20" s="17">
        <v>12069</v>
      </c>
      <c r="AD20" s="17">
        <v>12016</v>
      </c>
      <c r="AE20" s="17">
        <v>11793</v>
      </c>
      <c r="AF20" s="17">
        <v>11634</v>
      </c>
      <c r="AG20" s="17">
        <v>11755.612903225807</v>
      </c>
      <c r="AH20" s="17">
        <v>11936.666666666666</v>
      </c>
      <c r="AI20" s="17">
        <v>12046.870967741936</v>
      </c>
      <c r="AJ20" s="17">
        <v>12153.645161290322</v>
      </c>
      <c r="AK20" s="17">
        <v>12122</v>
      </c>
      <c r="AL20" s="17">
        <v>12502</v>
      </c>
      <c r="AM20" s="17">
        <v>12552</v>
      </c>
      <c r="AN20" s="17">
        <v>12320</v>
      </c>
      <c r="AO20" s="17">
        <f t="shared" si="0"/>
        <v>-232</v>
      </c>
      <c r="AP20" s="1"/>
      <c r="AQ20" s="1"/>
      <c r="AR20" s="1"/>
    </row>
    <row r="21" spans="1:44" s="5" customFormat="1" ht="16.5" customHeight="1" x14ac:dyDescent="0.3">
      <c r="A21" s="96"/>
      <c r="B21" s="98"/>
      <c r="C21" s="27" t="s">
        <v>28</v>
      </c>
      <c r="D21" s="28" t="s">
        <v>29</v>
      </c>
      <c r="E21" s="75">
        <v>1982</v>
      </c>
      <c r="F21" s="75">
        <v>1964.1</v>
      </c>
      <c r="G21" s="75">
        <v>1859</v>
      </c>
      <c r="H21" s="75">
        <v>2107</v>
      </c>
      <c r="I21" s="75">
        <f>59558/31</f>
        <v>1921.2258064516129</v>
      </c>
      <c r="J21" s="75">
        <v>1955</v>
      </c>
      <c r="K21" s="75">
        <f>66570/31</f>
        <v>2147.4193548387098</v>
      </c>
      <c r="L21" s="75">
        <f>66497/31</f>
        <v>2145.0645161290322</v>
      </c>
      <c r="M21" s="75">
        <f>63313/30</f>
        <v>2110.4333333333334</v>
      </c>
      <c r="N21" s="75">
        <f>56207/31</f>
        <v>1813.1290322580646</v>
      </c>
      <c r="O21" s="75">
        <f>55392/30</f>
        <v>1846.4</v>
      </c>
      <c r="P21" s="17">
        <v>1751</v>
      </c>
      <c r="Q21" s="17">
        <v>1714</v>
      </c>
      <c r="R21" s="17">
        <v>1656</v>
      </c>
      <c r="S21" s="17">
        <v>1557</v>
      </c>
      <c r="T21" s="17">
        <v>1475</v>
      </c>
      <c r="U21" s="17">
        <v>1401</v>
      </c>
      <c r="V21" s="17">
        <v>1320</v>
      </c>
      <c r="W21" s="17">
        <v>1342</v>
      </c>
      <c r="X21" s="17">
        <v>1320</v>
      </c>
      <c r="Y21" s="17">
        <v>1297</v>
      </c>
      <c r="Z21" s="17">
        <v>1266</v>
      </c>
      <c r="AA21" s="17">
        <v>1189</v>
      </c>
      <c r="AB21" s="17">
        <v>1164</v>
      </c>
      <c r="AC21" s="17">
        <v>1124</v>
      </c>
      <c r="AD21" s="17">
        <v>1121</v>
      </c>
      <c r="AE21" s="17">
        <v>1087</v>
      </c>
      <c r="AF21" s="17">
        <v>1053</v>
      </c>
      <c r="AG21" s="17">
        <v>1053.6774193548388</v>
      </c>
      <c r="AH21" s="17">
        <v>1046.3</v>
      </c>
      <c r="AI21" s="17">
        <v>1044.1290322580646</v>
      </c>
      <c r="AJ21" s="17">
        <v>1034.3870967741937</v>
      </c>
      <c r="AK21" s="17">
        <v>1008</v>
      </c>
      <c r="AL21" s="17">
        <v>1165</v>
      </c>
      <c r="AM21" s="17">
        <v>1753</v>
      </c>
      <c r="AN21" s="17">
        <v>1670</v>
      </c>
      <c r="AO21" s="17">
        <f t="shared" si="0"/>
        <v>-83</v>
      </c>
      <c r="AP21" s="1"/>
      <c r="AQ21" s="1"/>
      <c r="AR21" s="1"/>
    </row>
    <row r="22" spans="1:44" s="5" customFormat="1" ht="16.5" customHeight="1" x14ac:dyDescent="0.3">
      <c r="A22" s="96"/>
      <c r="B22" s="98"/>
      <c r="C22" s="27" t="s">
        <v>71</v>
      </c>
      <c r="D22" s="28" t="s">
        <v>27</v>
      </c>
      <c r="E22" s="75">
        <v>35</v>
      </c>
      <c r="F22" s="75">
        <v>33</v>
      </c>
      <c r="G22" s="75">
        <v>32</v>
      </c>
      <c r="H22" s="75">
        <v>34</v>
      </c>
      <c r="I22" s="75">
        <v>33.096774193548384</v>
      </c>
      <c r="J22" s="75">
        <v>33</v>
      </c>
      <c r="K22" s="75">
        <v>32.387096774193552</v>
      </c>
      <c r="L22" s="75">
        <v>33.41935483870968</v>
      </c>
      <c r="M22" s="75">
        <v>33.4</v>
      </c>
      <c r="N22" s="75">
        <v>42.967741935483872</v>
      </c>
      <c r="O22" s="75">
        <v>55.43333333333333</v>
      </c>
      <c r="P22" s="17">
        <v>42</v>
      </c>
      <c r="Q22" s="17">
        <v>42</v>
      </c>
      <c r="R22" s="17">
        <v>38</v>
      </c>
      <c r="S22" s="17">
        <v>38</v>
      </c>
      <c r="T22" s="17">
        <v>38</v>
      </c>
      <c r="U22" s="17">
        <v>37</v>
      </c>
      <c r="V22" s="17">
        <v>33</v>
      </c>
      <c r="W22" s="17">
        <v>35</v>
      </c>
      <c r="X22" s="17">
        <v>31</v>
      </c>
      <c r="Y22" s="17">
        <v>31</v>
      </c>
      <c r="Z22" s="17">
        <v>35</v>
      </c>
      <c r="AA22" s="17">
        <v>34</v>
      </c>
      <c r="AB22" s="17">
        <v>31</v>
      </c>
      <c r="AC22" s="17">
        <v>30</v>
      </c>
      <c r="AD22" s="17">
        <v>32</v>
      </c>
      <c r="AE22" s="17">
        <v>29</v>
      </c>
      <c r="AF22" s="17">
        <v>31</v>
      </c>
      <c r="AG22" s="17">
        <v>30.741935483870968</v>
      </c>
      <c r="AH22" s="17">
        <v>29.366666666666667</v>
      </c>
      <c r="AI22" s="17">
        <v>25.35483870967742</v>
      </c>
      <c r="AJ22" s="17">
        <v>32.29032258064516</v>
      </c>
      <c r="AK22" s="17">
        <v>30</v>
      </c>
      <c r="AL22" s="17">
        <v>27</v>
      </c>
      <c r="AM22" s="17">
        <v>28</v>
      </c>
      <c r="AN22" s="17">
        <v>31</v>
      </c>
      <c r="AO22" s="17">
        <f t="shared" si="0"/>
        <v>3</v>
      </c>
      <c r="AP22" s="1"/>
      <c r="AQ22" s="1"/>
      <c r="AR22" s="1"/>
    </row>
    <row r="23" spans="1:44" s="5" customFormat="1" ht="16.5" customHeight="1" thickBot="1" x14ac:dyDescent="0.35">
      <c r="A23" s="96"/>
      <c r="B23" s="98"/>
      <c r="C23" s="27" t="s">
        <v>71</v>
      </c>
      <c r="D23" s="28" t="s">
        <v>49</v>
      </c>
      <c r="E23" s="75">
        <v>16</v>
      </c>
      <c r="F23" s="75">
        <v>19.100000000000001</v>
      </c>
      <c r="G23" s="75">
        <v>19</v>
      </c>
      <c r="H23" s="75">
        <v>16</v>
      </c>
      <c r="I23" s="75">
        <v>15.290322580645162</v>
      </c>
      <c r="J23" s="75">
        <v>15</v>
      </c>
      <c r="K23" s="75">
        <v>15.193548387096774</v>
      </c>
      <c r="L23" s="75">
        <v>13.548387096774194</v>
      </c>
      <c r="M23" s="75">
        <v>14.933333333333334</v>
      </c>
      <c r="N23" s="75">
        <v>15.290322580645162</v>
      </c>
      <c r="O23" s="75">
        <v>14.866666666666667</v>
      </c>
      <c r="P23" s="17">
        <v>15</v>
      </c>
      <c r="Q23" s="17">
        <v>15</v>
      </c>
      <c r="R23" s="17">
        <v>14</v>
      </c>
      <c r="S23" s="17">
        <v>14</v>
      </c>
      <c r="T23" s="17">
        <v>14</v>
      </c>
      <c r="U23" s="17">
        <v>13</v>
      </c>
      <c r="V23" s="17">
        <v>14</v>
      </c>
      <c r="W23" s="17">
        <v>13</v>
      </c>
      <c r="X23" s="17">
        <v>14</v>
      </c>
      <c r="Y23" s="17">
        <v>13</v>
      </c>
      <c r="Z23" s="17">
        <v>13</v>
      </c>
      <c r="AA23" s="17">
        <v>15</v>
      </c>
      <c r="AB23" s="17">
        <v>13</v>
      </c>
      <c r="AC23" s="17">
        <v>14</v>
      </c>
      <c r="AD23" s="17">
        <v>12</v>
      </c>
      <c r="AE23" s="17">
        <v>14</v>
      </c>
      <c r="AF23" s="17">
        <v>17</v>
      </c>
      <c r="AG23" s="17">
        <v>14.741935483870968</v>
      </c>
      <c r="AH23" s="17">
        <v>12.5</v>
      </c>
      <c r="AI23" s="17">
        <v>10.161290322580646</v>
      </c>
      <c r="AJ23" s="17">
        <v>9.8387096774193541</v>
      </c>
      <c r="AK23" s="17">
        <v>10</v>
      </c>
      <c r="AL23" s="17">
        <v>10</v>
      </c>
      <c r="AM23" s="17">
        <v>10</v>
      </c>
      <c r="AN23" s="17">
        <v>9</v>
      </c>
      <c r="AO23" s="17">
        <f t="shared" si="0"/>
        <v>-1</v>
      </c>
      <c r="AP23" s="1"/>
      <c r="AQ23" s="1"/>
      <c r="AR23" s="1"/>
    </row>
    <row r="24" spans="1:44" s="5" customFormat="1" ht="21.75" customHeight="1" thickTop="1" thickBot="1" x14ac:dyDescent="0.35">
      <c r="B24" s="29"/>
      <c r="C24" s="95" t="s">
        <v>46</v>
      </c>
      <c r="D24" s="95"/>
      <c r="E24" s="31">
        <f t="shared" ref="E24:Y24" si="1">+SUM(E11:E23)</f>
        <v>23587</v>
      </c>
      <c r="F24" s="31">
        <f t="shared" si="1"/>
        <v>23630.899999999998</v>
      </c>
      <c r="G24" s="31">
        <f t="shared" si="1"/>
        <v>24055</v>
      </c>
      <c r="H24" s="31">
        <f t="shared" si="1"/>
        <v>24773.72</v>
      </c>
      <c r="I24" s="31">
        <f t="shared" si="1"/>
        <v>24820.903225806451</v>
      </c>
      <c r="J24" s="31">
        <f t="shared" si="1"/>
        <v>25310</v>
      </c>
      <c r="K24" s="31">
        <f t="shared" si="1"/>
        <v>25638.741935483871</v>
      </c>
      <c r="L24" s="31">
        <f t="shared" si="1"/>
        <v>24295.387096774193</v>
      </c>
      <c r="M24" s="31">
        <f t="shared" si="1"/>
        <v>25812.733333333337</v>
      </c>
      <c r="N24" s="31">
        <f t="shared" si="1"/>
        <v>25735.870967741936</v>
      </c>
      <c r="O24" s="31">
        <f t="shared" si="1"/>
        <v>25472.033333333336</v>
      </c>
      <c r="P24" s="31">
        <f t="shared" si="1"/>
        <v>24480</v>
      </c>
      <c r="Q24" s="31">
        <f t="shared" si="1"/>
        <v>24815</v>
      </c>
      <c r="R24" s="31">
        <f t="shared" si="1"/>
        <v>24462</v>
      </c>
      <c r="S24" s="31">
        <f t="shared" si="1"/>
        <v>24384</v>
      </c>
      <c r="T24" s="31">
        <f t="shared" si="1"/>
        <v>22633</v>
      </c>
      <c r="U24" s="31">
        <f t="shared" si="1"/>
        <v>22177</v>
      </c>
      <c r="V24" s="31">
        <f t="shared" si="1"/>
        <v>21822</v>
      </c>
      <c r="W24" s="31">
        <f t="shared" si="1"/>
        <v>21632</v>
      </c>
      <c r="X24" s="31">
        <f t="shared" si="1"/>
        <v>21278</v>
      </c>
      <c r="Y24" s="31">
        <f t="shared" si="1"/>
        <v>21037</v>
      </c>
      <c r="Z24" s="31">
        <f>+SUM(Z11:Z23)</f>
        <v>20684</v>
      </c>
      <c r="AA24" s="31">
        <f>+SUM(AA11:AA23)</f>
        <v>20433</v>
      </c>
      <c r="AB24" s="31">
        <f>+SUM(AB11:AB23)</f>
        <v>19929</v>
      </c>
      <c r="AC24" s="31">
        <f>SUM(AC11:AC23)</f>
        <v>20290</v>
      </c>
      <c r="AD24" s="31">
        <f>SUM(AD11:AD23)</f>
        <v>20372</v>
      </c>
      <c r="AE24" s="31">
        <f t="shared" ref="AE24:AJ24" si="2">+SUM(AE11:AE23)</f>
        <v>19749</v>
      </c>
      <c r="AF24" s="31">
        <f t="shared" si="2"/>
        <v>19781</v>
      </c>
      <c r="AG24" s="31">
        <f t="shared" si="2"/>
        <v>20330.193548387095</v>
      </c>
      <c r="AH24" s="31">
        <f t="shared" si="2"/>
        <v>20859.466666666664</v>
      </c>
      <c r="AI24" s="31">
        <f t="shared" si="2"/>
        <v>20866.483870967742</v>
      </c>
      <c r="AJ24" s="31">
        <f t="shared" si="2"/>
        <v>21026.193548387095</v>
      </c>
      <c r="AK24" s="31">
        <f>+SUM(AK11:AK23)</f>
        <v>20908</v>
      </c>
      <c r="AL24" s="31">
        <f>+SUM(AL11:AL23)</f>
        <v>21680</v>
      </c>
      <c r="AM24" s="31">
        <f>+SUM(AM11:AM23)</f>
        <v>22261</v>
      </c>
      <c r="AN24" s="31">
        <f>+SUM(AN11:AN23)</f>
        <v>21713</v>
      </c>
      <c r="AO24" s="31">
        <f>SUM(AO11:AO23)</f>
        <v>-548</v>
      </c>
      <c r="AP24" s="1"/>
      <c r="AQ24" s="1"/>
      <c r="AR24" s="1"/>
    </row>
    <row r="25" spans="1:44" s="5" customFormat="1" ht="16.5" customHeight="1" thickTop="1" thickBot="1" x14ac:dyDescent="0.35">
      <c r="A25" s="92" t="s">
        <v>41</v>
      </c>
      <c r="B25" s="94" t="s">
        <v>77</v>
      </c>
      <c r="C25" s="27" t="s">
        <v>66</v>
      </c>
      <c r="D25" s="28" t="s">
        <v>15</v>
      </c>
      <c r="E25" s="75">
        <v>7603</v>
      </c>
      <c r="F25" s="75">
        <v>8115.1</v>
      </c>
      <c r="G25" s="75">
        <v>7280</v>
      </c>
      <c r="H25" s="75">
        <v>7522</v>
      </c>
      <c r="I25" s="75">
        <f>222909/31</f>
        <v>7190.6129032258068</v>
      </c>
      <c r="J25" s="75">
        <v>6789</v>
      </c>
      <c r="K25" s="75">
        <f>216346/31</f>
        <v>6978.9032258064517</v>
      </c>
      <c r="L25" s="75">
        <f>227463/31</f>
        <v>7337.5161290322585</v>
      </c>
      <c r="M25" s="75">
        <f>212302/30</f>
        <v>7076.7333333333336</v>
      </c>
      <c r="N25" s="75">
        <f>209422/31</f>
        <v>6755.5483870967746</v>
      </c>
      <c r="O25" s="75">
        <f>195880/30</f>
        <v>6529.333333333333</v>
      </c>
      <c r="P25" s="17">
        <v>6759</v>
      </c>
      <c r="Q25" s="17">
        <v>6739</v>
      </c>
      <c r="R25" s="17">
        <v>6281</v>
      </c>
      <c r="S25" s="17">
        <v>6036</v>
      </c>
      <c r="T25" s="17">
        <v>6554</v>
      </c>
      <c r="U25" s="17">
        <v>6625</v>
      </c>
      <c r="V25" s="17">
        <v>6046</v>
      </c>
      <c r="W25" s="17">
        <v>6142</v>
      </c>
      <c r="X25" s="17">
        <v>6309</v>
      </c>
      <c r="Y25" s="17">
        <v>5659</v>
      </c>
      <c r="Z25" s="17">
        <v>6190</v>
      </c>
      <c r="AA25" s="17">
        <v>6213</v>
      </c>
      <c r="AB25" s="17">
        <v>5719</v>
      </c>
      <c r="AC25" s="17">
        <v>5748</v>
      </c>
      <c r="AD25" s="17">
        <v>6022</v>
      </c>
      <c r="AE25" s="17">
        <v>5821</v>
      </c>
      <c r="AF25" s="17">
        <v>5827</v>
      </c>
      <c r="AG25" s="17">
        <v>6088.0967741935483</v>
      </c>
      <c r="AH25" s="17">
        <v>5705.3666666666668</v>
      </c>
      <c r="AI25" s="17">
        <v>6161.8064516129034</v>
      </c>
      <c r="AJ25" s="17">
        <v>5829.2903225806449</v>
      </c>
      <c r="AK25" s="17">
        <v>5539</v>
      </c>
      <c r="AL25" s="17">
        <v>5783</v>
      </c>
      <c r="AM25" s="17">
        <v>5736</v>
      </c>
      <c r="AN25" s="17">
        <v>5781</v>
      </c>
      <c r="AO25" s="17">
        <f t="shared" si="0"/>
        <v>45</v>
      </c>
      <c r="AP25" s="1"/>
      <c r="AQ25" s="1"/>
      <c r="AR25" s="1"/>
    </row>
    <row r="26" spans="1:44" s="5" customFormat="1" ht="16.5" hidden="1" customHeight="1" thickTop="1" thickBot="1" x14ac:dyDescent="0.35">
      <c r="A26" s="92"/>
      <c r="B26" s="94"/>
      <c r="C26" s="27" t="s">
        <v>66</v>
      </c>
      <c r="D26" s="28"/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v>0</v>
      </c>
      <c r="AK26" s="17"/>
      <c r="AL26" s="17"/>
      <c r="AM26" s="17"/>
      <c r="AN26" s="17"/>
      <c r="AO26" s="17">
        <f t="shared" si="0"/>
        <v>0</v>
      </c>
      <c r="AP26" s="1"/>
      <c r="AQ26" s="1"/>
      <c r="AR26" s="1"/>
    </row>
    <row r="27" spans="1:44" s="5" customFormat="1" ht="16.5" customHeight="1" thickTop="1" thickBot="1" x14ac:dyDescent="0.35">
      <c r="A27" s="92"/>
      <c r="B27" s="94"/>
      <c r="C27" s="27" t="s">
        <v>66</v>
      </c>
      <c r="D27" s="28" t="s">
        <v>67</v>
      </c>
      <c r="E27" s="17">
        <v>111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f t="shared" si="0"/>
        <v>0</v>
      </c>
      <c r="AP27" s="1"/>
      <c r="AQ27" s="1"/>
      <c r="AR27" s="1"/>
    </row>
    <row r="28" spans="1:44" s="5" customFormat="1" ht="21" customHeight="1" thickTop="1" thickBot="1" x14ac:dyDescent="0.35">
      <c r="A28" s="93"/>
      <c r="B28" s="76" t="s">
        <v>51</v>
      </c>
      <c r="C28" s="27" t="s">
        <v>64</v>
      </c>
      <c r="D28" s="28" t="s">
        <v>50</v>
      </c>
      <c r="E28" s="17">
        <v>0</v>
      </c>
      <c r="F28" s="75">
        <v>2861.1</v>
      </c>
      <c r="G28" s="75">
        <v>1829</v>
      </c>
      <c r="H28" s="75">
        <v>0</v>
      </c>
      <c r="I28" s="75">
        <f>58432/31</f>
        <v>1884.9032258064517</v>
      </c>
      <c r="J28" s="75">
        <v>1833</v>
      </c>
      <c r="K28" s="75">
        <v>0</v>
      </c>
      <c r="L28" s="75">
        <f>54420/31</f>
        <v>1755.483870967742</v>
      </c>
      <c r="M28" s="75">
        <f>53815/30</f>
        <v>1793.8333333333333</v>
      </c>
      <c r="N28" s="75">
        <v>0</v>
      </c>
      <c r="O28" s="75">
        <f>77973/30</f>
        <v>2599.1</v>
      </c>
      <c r="P28" s="17">
        <v>1307</v>
      </c>
      <c r="Q28" s="17">
        <v>0</v>
      </c>
      <c r="R28" s="17">
        <v>1120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f t="shared" si="0"/>
        <v>0</v>
      </c>
      <c r="AP28" s="1"/>
      <c r="AQ28" s="1"/>
      <c r="AR28" s="1"/>
    </row>
    <row r="29" spans="1:44" s="5" customFormat="1" ht="19.5" customHeight="1" thickTop="1" thickBot="1" x14ac:dyDescent="0.35">
      <c r="B29" s="34"/>
      <c r="C29" s="99" t="s">
        <v>47</v>
      </c>
      <c r="D29" s="99"/>
      <c r="E29" s="37">
        <f t="shared" ref="E29:Y29" si="3">+SUM(E25:E28)</f>
        <v>7714</v>
      </c>
      <c r="F29" s="37">
        <f t="shared" si="3"/>
        <v>10976.2</v>
      </c>
      <c r="G29" s="37">
        <f t="shared" si="3"/>
        <v>9109</v>
      </c>
      <c r="H29" s="37">
        <f t="shared" si="3"/>
        <v>7522</v>
      </c>
      <c r="I29" s="37">
        <f t="shared" si="3"/>
        <v>9075.5161290322576</v>
      </c>
      <c r="J29" s="37">
        <f t="shared" si="3"/>
        <v>8622</v>
      </c>
      <c r="K29" s="37">
        <f t="shared" si="3"/>
        <v>6978.9032258064517</v>
      </c>
      <c r="L29" s="37">
        <f t="shared" si="3"/>
        <v>9093</v>
      </c>
      <c r="M29" s="37">
        <f t="shared" si="3"/>
        <v>8870.5666666666675</v>
      </c>
      <c r="N29" s="37">
        <f t="shared" si="3"/>
        <v>6755.5483870967746</v>
      </c>
      <c r="O29" s="37">
        <f t="shared" si="3"/>
        <v>9128.4333333333325</v>
      </c>
      <c r="P29" s="37">
        <f t="shared" si="3"/>
        <v>8066</v>
      </c>
      <c r="Q29" s="37">
        <f t="shared" si="3"/>
        <v>6739</v>
      </c>
      <c r="R29" s="37">
        <f t="shared" si="3"/>
        <v>7401</v>
      </c>
      <c r="S29" s="37">
        <f t="shared" si="3"/>
        <v>6036</v>
      </c>
      <c r="T29" s="37">
        <f t="shared" si="3"/>
        <v>6554</v>
      </c>
      <c r="U29" s="37">
        <f t="shared" si="3"/>
        <v>6625</v>
      </c>
      <c r="V29" s="37">
        <f t="shared" si="3"/>
        <v>6046</v>
      </c>
      <c r="W29" s="37">
        <f t="shared" si="3"/>
        <v>6142</v>
      </c>
      <c r="X29" s="37">
        <f t="shared" si="3"/>
        <v>6309</v>
      </c>
      <c r="Y29" s="37">
        <f t="shared" si="3"/>
        <v>5659</v>
      </c>
      <c r="Z29" s="37">
        <f>+SUM(Z25:Z28)</f>
        <v>6190</v>
      </c>
      <c r="AA29" s="37">
        <f>+SUM(AA25:AA28)</f>
        <v>6213</v>
      </c>
      <c r="AB29" s="37">
        <f>+SUM(AB25:AB28)</f>
        <v>5719</v>
      </c>
      <c r="AC29" s="37">
        <f>SUM(AC25:AC28)</f>
        <v>5748</v>
      </c>
      <c r="AD29" s="37">
        <f>SUM(AD25:AD28)</f>
        <v>6022</v>
      </c>
      <c r="AE29" s="37">
        <f t="shared" ref="AE29:AN29" si="4">+SUM(AE25:AE28)</f>
        <v>5821</v>
      </c>
      <c r="AF29" s="37">
        <f t="shared" si="4"/>
        <v>5827</v>
      </c>
      <c r="AG29" s="37">
        <f t="shared" si="4"/>
        <v>6088.0967741935483</v>
      </c>
      <c r="AH29" s="37">
        <f t="shared" si="4"/>
        <v>5705.3666666666668</v>
      </c>
      <c r="AI29" s="37">
        <f t="shared" si="4"/>
        <v>6161.8064516129034</v>
      </c>
      <c r="AJ29" s="37">
        <f t="shared" si="4"/>
        <v>5829.2903225806449</v>
      </c>
      <c r="AK29" s="37">
        <f t="shared" si="4"/>
        <v>5539</v>
      </c>
      <c r="AL29" s="37">
        <f t="shared" si="4"/>
        <v>5783</v>
      </c>
      <c r="AM29" s="37">
        <f t="shared" si="4"/>
        <v>5736</v>
      </c>
      <c r="AN29" s="37">
        <f t="shared" si="4"/>
        <v>5781</v>
      </c>
      <c r="AO29" s="37">
        <f>SUM(AO25:AO28)</f>
        <v>45</v>
      </c>
      <c r="AP29" s="1"/>
      <c r="AQ29" s="1"/>
      <c r="AR29" s="1"/>
    </row>
    <row r="30" spans="1:44" s="5" customFormat="1" ht="15.75" hidden="1" customHeight="1" thickTop="1" thickBot="1" x14ac:dyDescent="0.35">
      <c r="A30" s="92" t="s">
        <v>69</v>
      </c>
      <c r="B30" s="94" t="s">
        <v>32</v>
      </c>
      <c r="C30" s="27" t="s">
        <v>18</v>
      </c>
      <c r="D30" s="28" t="s">
        <v>42</v>
      </c>
      <c r="E30" s="20"/>
      <c r="F30" s="20"/>
      <c r="G30" s="17"/>
      <c r="H30" s="17"/>
      <c r="I30" s="17"/>
      <c r="J30" s="17"/>
      <c r="K30" s="17"/>
      <c r="O30" s="17"/>
      <c r="P30" s="17"/>
      <c r="Q30" s="17"/>
      <c r="R30" s="17">
        <f>+O30-N30</f>
        <v>0</v>
      </c>
      <c r="S30" s="17">
        <f t="shared" ref="S30:X30" si="5">+P30-O30</f>
        <v>0</v>
      </c>
      <c r="T30" s="17">
        <f t="shared" si="5"/>
        <v>0</v>
      </c>
      <c r="U30" s="17">
        <f t="shared" si="5"/>
        <v>0</v>
      </c>
      <c r="V30" s="17">
        <f t="shared" si="5"/>
        <v>0</v>
      </c>
      <c r="W30" s="17">
        <f t="shared" si="5"/>
        <v>0</v>
      </c>
      <c r="X30" s="17">
        <f t="shared" si="5"/>
        <v>0</v>
      </c>
      <c r="Y30" s="17">
        <f>+V30-U30</f>
        <v>0</v>
      </c>
      <c r="Z30" s="17">
        <f>+W30-V30</f>
        <v>0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>
        <f t="shared" ref="AO30" si="6">+AB30-AA30</f>
        <v>0</v>
      </c>
      <c r="AP30" s="1"/>
      <c r="AQ30" s="1"/>
      <c r="AR30" s="1"/>
    </row>
    <row r="31" spans="1:44" s="5" customFormat="1" ht="15.75" customHeight="1" thickTop="1" thickBot="1" x14ac:dyDescent="0.35">
      <c r="A31" s="92"/>
      <c r="B31" s="94"/>
      <c r="C31" s="27" t="s">
        <v>75</v>
      </c>
      <c r="D31" s="28">
        <v>192</v>
      </c>
      <c r="E31" s="17">
        <v>0</v>
      </c>
      <c r="F31" s="75">
        <v>0</v>
      </c>
      <c r="G31" s="75">
        <v>5648</v>
      </c>
      <c r="H31" s="75">
        <v>10838</v>
      </c>
      <c r="I31" s="75">
        <f>313077/31</f>
        <v>10099.258064516129</v>
      </c>
      <c r="J31" s="75">
        <v>7102</v>
      </c>
      <c r="K31" s="75">
        <f>35351/31</f>
        <v>1140.3548387096773</v>
      </c>
      <c r="L31" s="75">
        <f>256881/31</f>
        <v>8286.4838709677424</v>
      </c>
      <c r="M31" s="75">
        <f>257608/30</f>
        <v>8586.9333333333325</v>
      </c>
      <c r="N31" s="75">
        <f>312614/31</f>
        <v>10084.322580645161</v>
      </c>
      <c r="O31" s="75">
        <f>279164/30</f>
        <v>9305.4666666666672</v>
      </c>
      <c r="P31" s="17">
        <v>9387</v>
      </c>
      <c r="Q31" s="17">
        <v>8595</v>
      </c>
      <c r="R31" s="17">
        <v>7210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f t="shared" ref="AO31:AO39" si="7">+AN31-AM31</f>
        <v>0</v>
      </c>
      <c r="AP31" s="1"/>
      <c r="AQ31" s="1"/>
      <c r="AR31" s="1"/>
    </row>
    <row r="32" spans="1:44" s="5" customFormat="1" ht="15.75" customHeight="1" thickTop="1" thickBot="1" x14ac:dyDescent="0.35">
      <c r="A32" s="92"/>
      <c r="B32" s="94"/>
      <c r="C32" s="27" t="s">
        <v>18</v>
      </c>
      <c r="D32" s="28">
        <v>8</v>
      </c>
      <c r="E32" s="75">
        <v>1596</v>
      </c>
      <c r="F32" s="75">
        <v>7352.1</v>
      </c>
      <c r="G32" s="75">
        <v>6867</v>
      </c>
      <c r="H32" s="75">
        <v>4484</v>
      </c>
      <c r="I32" s="75">
        <f>168000/31</f>
        <v>5419.3548387096771</v>
      </c>
      <c r="J32" s="75">
        <v>445</v>
      </c>
      <c r="K32" s="75">
        <f>71580/31</f>
        <v>2309.0322580645161</v>
      </c>
      <c r="L32" s="75">
        <f>165606/31</f>
        <v>5342.1290322580644</v>
      </c>
      <c r="M32" s="75">
        <f>169662/30</f>
        <v>5655.4</v>
      </c>
      <c r="N32" s="75">
        <f>78726/31</f>
        <v>2539.5483870967741</v>
      </c>
      <c r="O32" s="75">
        <f>200214/30</f>
        <v>6673.8</v>
      </c>
      <c r="P32" s="17">
        <v>4552</v>
      </c>
      <c r="Q32" s="17">
        <v>4647</v>
      </c>
      <c r="R32" s="17">
        <v>7340</v>
      </c>
      <c r="S32" s="17">
        <v>4824</v>
      </c>
      <c r="T32" s="17">
        <v>2915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f t="shared" si="7"/>
        <v>0</v>
      </c>
      <c r="AP32" s="1"/>
      <c r="AQ32" s="1"/>
      <c r="AR32" s="1"/>
    </row>
    <row r="33" spans="1:44" s="5" customFormat="1" ht="19.5" hidden="1" customHeight="1" thickTop="1" thickBot="1" x14ac:dyDescent="0.35">
      <c r="A33" s="92" t="s">
        <v>70</v>
      </c>
      <c r="B33" s="77" t="s">
        <v>43</v>
      </c>
      <c r="C33" s="27" t="s">
        <v>7</v>
      </c>
      <c r="D33" s="28" t="s">
        <v>16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/>
      <c r="O33" s="7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>
        <f t="shared" si="7"/>
        <v>0</v>
      </c>
      <c r="AP33" s="1"/>
      <c r="AQ33" s="1"/>
      <c r="AR33" s="1"/>
    </row>
    <row r="34" spans="1:44" s="5" customFormat="1" ht="19.5" hidden="1" customHeight="1" thickTop="1" thickBot="1" x14ac:dyDescent="0.35">
      <c r="A34" s="93"/>
      <c r="B34" s="76" t="s">
        <v>32</v>
      </c>
      <c r="C34" s="27" t="s">
        <v>7</v>
      </c>
      <c r="D34" s="28" t="s">
        <v>33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/>
      <c r="O34" s="7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>
        <f t="shared" si="7"/>
        <v>0</v>
      </c>
      <c r="AP34" s="1"/>
      <c r="AQ34" s="1"/>
      <c r="AR34" s="1"/>
    </row>
    <row r="35" spans="1:44" s="5" customFormat="1" ht="19.5" customHeight="1" thickTop="1" thickBot="1" x14ac:dyDescent="0.35">
      <c r="A35" s="76"/>
      <c r="B35" s="39"/>
      <c r="C35" s="27" t="s">
        <v>74</v>
      </c>
      <c r="D35" s="28">
        <v>67</v>
      </c>
      <c r="E35" s="75">
        <v>812</v>
      </c>
      <c r="F35" s="75">
        <v>753.1</v>
      </c>
      <c r="G35" s="75">
        <v>1614</v>
      </c>
      <c r="H35" s="75">
        <v>1430</v>
      </c>
      <c r="I35" s="75">
        <f>38607/31</f>
        <v>1245.3870967741937</v>
      </c>
      <c r="J35" s="75">
        <v>1126</v>
      </c>
      <c r="K35" s="75">
        <v>425.12903225806451</v>
      </c>
      <c r="L35" s="75">
        <f>39858/31</f>
        <v>1285.741935483871</v>
      </c>
      <c r="M35" s="75">
        <f>64552/30</f>
        <v>2151.7333333333331</v>
      </c>
      <c r="N35" s="75">
        <f>51433/31</f>
        <v>1659.1290322580646</v>
      </c>
      <c r="O35" s="75">
        <f>67304/30</f>
        <v>2243.4666666666667</v>
      </c>
      <c r="P35" s="17">
        <v>1831</v>
      </c>
      <c r="Q35" s="17">
        <v>2831</v>
      </c>
      <c r="R35" s="17">
        <v>2488</v>
      </c>
      <c r="S35" s="17">
        <v>2800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936</v>
      </c>
      <c r="AF35" s="17">
        <v>2275</v>
      </c>
      <c r="AG35" s="17">
        <v>2971.0322580645161</v>
      </c>
      <c r="AH35" s="17">
        <v>2578.1</v>
      </c>
      <c r="AI35" s="17">
        <v>3190.7741935483873</v>
      </c>
      <c r="AJ35" s="17">
        <v>1191.5806451612902</v>
      </c>
      <c r="AK35" s="17">
        <v>952</v>
      </c>
      <c r="AL35" s="17">
        <v>2126</v>
      </c>
      <c r="AM35" s="17">
        <v>656</v>
      </c>
      <c r="AN35" s="17">
        <v>0</v>
      </c>
      <c r="AO35" s="17">
        <f t="shared" si="7"/>
        <v>-656</v>
      </c>
      <c r="AP35" s="1"/>
      <c r="AQ35" s="1"/>
      <c r="AR35" s="1"/>
    </row>
    <row r="36" spans="1:44" s="5" customFormat="1" ht="19.5" customHeight="1" thickTop="1" thickBot="1" x14ac:dyDescent="0.35">
      <c r="A36" s="76"/>
      <c r="B36" s="39"/>
      <c r="C36" s="27" t="s">
        <v>73</v>
      </c>
      <c r="D36" s="28">
        <v>131</v>
      </c>
      <c r="E36" s="75">
        <v>3435</v>
      </c>
      <c r="F36" s="75">
        <v>3462.1</v>
      </c>
      <c r="G36" s="75">
        <v>3094</v>
      </c>
      <c r="H36" s="75">
        <v>3008.7</v>
      </c>
      <c r="I36" s="75">
        <f>95063/31</f>
        <v>3066.5483870967741</v>
      </c>
      <c r="J36" s="75">
        <v>3063</v>
      </c>
      <c r="K36" s="75">
        <f>93928/31</f>
        <v>3029.9354838709678</v>
      </c>
      <c r="L36" s="75">
        <f>90998/31</f>
        <v>2935.4193548387098</v>
      </c>
      <c r="M36" s="75">
        <f>93778/30</f>
        <v>3125.9333333333334</v>
      </c>
      <c r="N36" s="75">
        <f>92417/31</f>
        <v>2981.1935483870966</v>
      </c>
      <c r="O36" s="75">
        <f>85419/30</f>
        <v>2847.3</v>
      </c>
      <c r="P36" s="17">
        <v>2796</v>
      </c>
      <c r="Q36" s="17">
        <v>2686</v>
      </c>
      <c r="R36" s="17">
        <v>2515</v>
      </c>
      <c r="S36" s="17">
        <v>2387</v>
      </c>
      <c r="T36" s="17">
        <v>2299</v>
      </c>
      <c r="U36" s="17">
        <v>2041</v>
      </c>
      <c r="V36" s="17">
        <v>2072</v>
      </c>
      <c r="W36" s="17">
        <v>1973</v>
      </c>
      <c r="X36" s="17">
        <v>1856</v>
      </c>
      <c r="Y36" s="17">
        <v>1755</v>
      </c>
      <c r="Z36" s="17">
        <v>1703</v>
      </c>
      <c r="AA36" s="17">
        <v>1649</v>
      </c>
      <c r="AB36" s="17">
        <v>1535</v>
      </c>
      <c r="AC36" s="17">
        <v>1558</v>
      </c>
      <c r="AD36" s="17">
        <v>1452</v>
      </c>
      <c r="AE36" s="17">
        <v>1245</v>
      </c>
      <c r="AF36" s="17">
        <v>1214</v>
      </c>
      <c r="AG36" s="17">
        <v>1795.4516129032259</v>
      </c>
      <c r="AH36" s="17">
        <v>861.3</v>
      </c>
      <c r="AI36" s="17">
        <v>222.29032258064515</v>
      </c>
      <c r="AJ36" s="17">
        <v>2089.9354838709678</v>
      </c>
      <c r="AK36" s="17">
        <v>2018</v>
      </c>
      <c r="AL36" s="17">
        <v>1929</v>
      </c>
      <c r="AM36" s="17">
        <v>1730</v>
      </c>
      <c r="AN36" s="17">
        <v>1518</v>
      </c>
      <c r="AO36" s="17">
        <f t="shared" si="7"/>
        <v>-212</v>
      </c>
      <c r="AP36" s="1"/>
      <c r="AQ36" s="1"/>
      <c r="AR36" s="1"/>
    </row>
    <row r="37" spans="1:44" s="5" customFormat="1" ht="19.5" hidden="1" customHeight="1" thickTop="1" thickBot="1" x14ac:dyDescent="0.35">
      <c r="A37" s="76"/>
      <c r="B37" s="39"/>
      <c r="C37" s="27" t="s">
        <v>72</v>
      </c>
      <c r="D37" s="28">
        <v>95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>
        <f t="shared" si="7"/>
        <v>0</v>
      </c>
      <c r="AP37" s="1"/>
      <c r="AQ37" s="1"/>
      <c r="AR37" s="1"/>
    </row>
    <row r="38" spans="1:44" s="5" customFormat="1" ht="19.5" hidden="1" customHeight="1" thickTop="1" thickBot="1" x14ac:dyDescent="0.35">
      <c r="A38" s="76"/>
      <c r="B38" s="39"/>
      <c r="C38" s="27" t="s">
        <v>18</v>
      </c>
      <c r="D38" s="28">
        <v>102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>
        <f t="shared" si="7"/>
        <v>0</v>
      </c>
      <c r="AP38" s="1"/>
      <c r="AQ38" s="1"/>
      <c r="AR38" s="1"/>
    </row>
    <row r="39" spans="1:44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5">
        <v>807</v>
      </c>
      <c r="F39" s="75">
        <v>949.1</v>
      </c>
      <c r="G39" s="75">
        <v>968</v>
      </c>
      <c r="H39" s="75">
        <v>1711</v>
      </c>
      <c r="I39" s="75">
        <f>88291/31</f>
        <v>2848.0967741935483</v>
      </c>
      <c r="J39" s="75">
        <v>4321</v>
      </c>
      <c r="K39" s="75">
        <f>136231/31</f>
        <v>4394.5483870967746</v>
      </c>
      <c r="L39" s="75">
        <f>159098/31</f>
        <v>5132.1935483870966</v>
      </c>
      <c r="M39" s="75">
        <f>148440/30</f>
        <v>4948</v>
      </c>
      <c r="N39" s="75">
        <f>194945/31</f>
        <v>6288.5483870967746</v>
      </c>
      <c r="O39" s="75">
        <f>242034/30</f>
        <v>8067.8</v>
      </c>
      <c r="P39" s="17">
        <v>8620</v>
      </c>
      <c r="Q39" s="17">
        <v>9491</v>
      </c>
      <c r="R39" s="17">
        <v>9744</v>
      </c>
      <c r="S39" s="17">
        <v>10101</v>
      </c>
      <c r="T39" s="17">
        <v>11400</v>
      </c>
      <c r="U39" s="17">
        <v>703</v>
      </c>
      <c r="V39" s="17">
        <v>0</v>
      </c>
      <c r="W39" s="17">
        <v>4984</v>
      </c>
      <c r="X39" s="17">
        <v>1772</v>
      </c>
      <c r="Y39" s="17">
        <v>713</v>
      </c>
      <c r="Z39" s="17">
        <v>9275</v>
      </c>
      <c r="AA39" s="17">
        <v>5190</v>
      </c>
      <c r="AB39" s="17">
        <v>4442</v>
      </c>
      <c r="AC39" s="17">
        <v>7791</v>
      </c>
      <c r="AD39" s="17">
        <v>7191</v>
      </c>
      <c r="AE39" s="17">
        <v>7072</v>
      </c>
      <c r="AF39" s="17">
        <v>7355</v>
      </c>
      <c r="AG39" s="17">
        <v>9943.2580645161288</v>
      </c>
      <c r="AH39" s="17">
        <v>8877.1666666666661</v>
      </c>
      <c r="AI39" s="17">
        <v>8446.2903225806458</v>
      </c>
      <c r="AJ39" s="17">
        <v>7562.6451612903229</v>
      </c>
      <c r="AK39" s="17">
        <v>11875</v>
      </c>
      <c r="AL39" s="17">
        <v>12767</v>
      </c>
      <c r="AM39" s="17">
        <v>7541</v>
      </c>
      <c r="AN39" s="17">
        <v>9591</v>
      </c>
      <c r="AO39" s="17">
        <f t="shared" si="7"/>
        <v>2050</v>
      </c>
      <c r="AP39" s="1"/>
      <c r="AQ39" s="1"/>
      <c r="AR39" s="1"/>
    </row>
    <row r="40" spans="1:44" s="5" customFormat="1" ht="20.25" customHeight="1" thickTop="1" x14ac:dyDescent="0.3">
      <c r="B40" s="44"/>
      <c r="C40" s="81" t="s">
        <v>48</v>
      </c>
      <c r="D40" s="81"/>
      <c r="E40" s="40">
        <f>+SUM(E31:E39)</f>
        <v>6650</v>
      </c>
      <c r="F40" s="40">
        <f>+SUM(F31:F39)</f>
        <v>12516.400000000001</v>
      </c>
      <c r="G40" s="40">
        <f>+SUM(G31:G39)</f>
        <v>18191</v>
      </c>
      <c r="H40" s="40">
        <f>+SUM(H31:H39)</f>
        <v>21471.7</v>
      </c>
      <c r="I40" s="40">
        <f t="shared" ref="I40:N40" si="8">+SUM(I31:I39)</f>
        <v>22678.645161290322</v>
      </c>
      <c r="J40" s="40">
        <f t="shared" si="8"/>
        <v>16057</v>
      </c>
      <c r="K40" s="40">
        <f t="shared" si="8"/>
        <v>11299</v>
      </c>
      <c r="L40" s="40">
        <f t="shared" si="8"/>
        <v>22981.967741935485</v>
      </c>
      <c r="M40" s="40">
        <f t="shared" si="8"/>
        <v>24468</v>
      </c>
      <c r="N40" s="40">
        <f t="shared" si="8"/>
        <v>23552.741935483871</v>
      </c>
      <c r="O40" s="40">
        <f>+SUM(O31:O39)</f>
        <v>29137.833333333332</v>
      </c>
      <c r="P40" s="40">
        <f>+SUM(P31:P39)</f>
        <v>27186</v>
      </c>
      <c r="Q40" s="40">
        <f t="shared" ref="Q40:V40" si="9">+SUM(Q31:Q39)</f>
        <v>28250</v>
      </c>
      <c r="R40" s="40">
        <f t="shared" si="9"/>
        <v>29297</v>
      </c>
      <c r="S40" s="40">
        <f t="shared" si="9"/>
        <v>20112</v>
      </c>
      <c r="T40" s="40">
        <f t="shared" si="9"/>
        <v>16614</v>
      </c>
      <c r="U40" s="40">
        <f t="shared" si="9"/>
        <v>2744</v>
      </c>
      <c r="V40" s="40">
        <f t="shared" si="9"/>
        <v>2072</v>
      </c>
      <c r="W40" s="40">
        <f t="shared" ref="W40:AB40" si="10">+SUM(W31:W39)</f>
        <v>6957</v>
      </c>
      <c r="X40" s="40">
        <f t="shared" si="10"/>
        <v>3628</v>
      </c>
      <c r="Y40" s="40">
        <f t="shared" si="10"/>
        <v>2468</v>
      </c>
      <c r="Z40" s="40">
        <f t="shared" si="10"/>
        <v>10978</v>
      </c>
      <c r="AA40" s="40">
        <f t="shared" si="10"/>
        <v>6839</v>
      </c>
      <c r="AB40" s="40">
        <f t="shared" si="10"/>
        <v>5977</v>
      </c>
      <c r="AC40" s="40">
        <f>SUM(AC31:AC39)</f>
        <v>9349</v>
      </c>
      <c r="AD40" s="40">
        <f>SUM(AD31:AD39)</f>
        <v>8643</v>
      </c>
      <c r="AE40" s="40">
        <f t="shared" ref="AE40:AG40" si="11">+SUM(AE31:AE39)</f>
        <v>9253</v>
      </c>
      <c r="AF40" s="40">
        <f t="shared" si="11"/>
        <v>10844</v>
      </c>
      <c r="AG40" s="40">
        <f t="shared" si="11"/>
        <v>14709.741935483871</v>
      </c>
      <c r="AH40" s="40">
        <f t="shared" ref="AH40" si="12">+SUM(AH31:AH39)</f>
        <v>12316.566666666666</v>
      </c>
      <c r="AI40" s="40">
        <f>+SUM(AI31:AI39)</f>
        <v>11859.354838709678</v>
      </c>
      <c r="AJ40" s="40">
        <f t="shared" ref="AJ40:AN40" si="13">+SUM(AJ31:AJ39)</f>
        <v>10844.161290322581</v>
      </c>
      <c r="AK40" s="40">
        <f t="shared" si="13"/>
        <v>14845</v>
      </c>
      <c r="AL40" s="40">
        <f t="shared" si="13"/>
        <v>16822</v>
      </c>
      <c r="AM40" s="40">
        <f t="shared" si="13"/>
        <v>9927</v>
      </c>
      <c r="AN40" s="40">
        <f t="shared" si="13"/>
        <v>11109</v>
      </c>
      <c r="AO40" s="40">
        <f>SUM(AO31:AO39)</f>
        <v>1182</v>
      </c>
      <c r="AP40" s="1"/>
      <c r="AQ40" s="1"/>
      <c r="AR40" s="1"/>
    </row>
    <row r="41" spans="1:44" s="46" customFormat="1" ht="20.25" customHeight="1" x14ac:dyDescent="0.3">
      <c r="B41" s="47"/>
      <c r="C41" s="48"/>
      <c r="D41" s="48"/>
      <c r="E41" s="51"/>
      <c r="F41" s="51"/>
      <c r="G41" s="51"/>
      <c r="H41" s="51"/>
      <c r="I41" s="51"/>
      <c r="J41" s="51"/>
      <c r="K41" s="5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</row>
    <row r="42" spans="1:44" s="5" customFormat="1" ht="41.25" customHeight="1" thickBot="1" x14ac:dyDescent="0.35">
      <c r="B42" s="45"/>
      <c r="C42" s="80" t="s">
        <v>78</v>
      </c>
      <c r="D42" s="80"/>
      <c r="E42" s="70">
        <f>+E24+E29+E40</f>
        <v>37951</v>
      </c>
      <c r="F42" s="70">
        <f>+F24+F29+F40</f>
        <v>47123.5</v>
      </c>
      <c r="G42" s="70">
        <f>+G24+G29+G40</f>
        <v>51355</v>
      </c>
      <c r="H42" s="70">
        <f>+H24+H29+H40</f>
        <v>53767.42</v>
      </c>
      <c r="I42" s="70">
        <f>+I24+I29+I40</f>
        <v>56575.06451612903</v>
      </c>
      <c r="J42" s="70">
        <f>+J24+J29+J40-1</f>
        <v>49988</v>
      </c>
      <c r="K42" s="70">
        <f t="shared" ref="K42:Q42" si="14">+K24+K29+K40</f>
        <v>43916.645161290318</v>
      </c>
      <c r="L42" s="70">
        <f t="shared" si="14"/>
        <v>56370.354838709682</v>
      </c>
      <c r="M42" s="70">
        <f t="shared" si="14"/>
        <v>59151.3</v>
      </c>
      <c r="N42" s="70">
        <f t="shared" si="14"/>
        <v>56044.161290322583</v>
      </c>
      <c r="O42" s="70">
        <f t="shared" si="14"/>
        <v>63738.3</v>
      </c>
      <c r="P42" s="70">
        <f t="shared" si="14"/>
        <v>59732</v>
      </c>
      <c r="Q42" s="70">
        <f t="shared" si="14"/>
        <v>59804</v>
      </c>
      <c r="R42" s="70">
        <f>+R24+R29+R40-1</f>
        <v>61159</v>
      </c>
      <c r="S42" s="70">
        <f>+S24+S29+S40+2</f>
        <v>50534</v>
      </c>
      <c r="T42" s="70">
        <f>+T24+T29+T40</f>
        <v>45801</v>
      </c>
      <c r="U42" s="70">
        <f>+U24+U29+U40+1</f>
        <v>31547</v>
      </c>
      <c r="V42" s="70">
        <f>+V24+V29+V40</f>
        <v>29940</v>
      </c>
      <c r="W42" s="70">
        <f>+W24+W29+W40</f>
        <v>34731</v>
      </c>
      <c r="X42" s="70">
        <f>+X24+X29+X40-1</f>
        <v>31214</v>
      </c>
      <c r="Y42" s="70">
        <f>+Y24+Y29+Y40+1</f>
        <v>29165</v>
      </c>
      <c r="Z42" s="70">
        <f>+Z24+Z29+Z40-1</f>
        <v>37851</v>
      </c>
      <c r="AA42" s="70">
        <f>+AA24+AA29+AA40-1</f>
        <v>33484</v>
      </c>
      <c r="AB42" s="70">
        <f>+AB24+AB29+AB40-1</f>
        <v>31624</v>
      </c>
      <c r="AC42" s="70">
        <f t="shared" ref="AC42:AG42" si="15">+AC24+AC29+AC40</f>
        <v>35387</v>
      </c>
      <c r="AD42" s="70">
        <f t="shared" si="15"/>
        <v>35037</v>
      </c>
      <c r="AE42" s="70">
        <f t="shared" si="15"/>
        <v>34823</v>
      </c>
      <c r="AF42" s="70">
        <f t="shared" si="15"/>
        <v>36452</v>
      </c>
      <c r="AG42" s="70">
        <f t="shared" si="15"/>
        <v>41128.032258064515</v>
      </c>
      <c r="AH42" s="70">
        <f t="shared" ref="AH42:AI42" si="16">+AH24+AH29+AH40</f>
        <v>38881.399999999994</v>
      </c>
      <c r="AI42" s="70">
        <f t="shared" si="16"/>
        <v>38887.645161290318</v>
      </c>
      <c r="AJ42" s="70">
        <f t="shared" ref="AJ42:AO42" si="17">+AJ24+AJ29+AJ40</f>
        <v>37699.645161290318</v>
      </c>
      <c r="AK42" s="70">
        <f t="shared" si="17"/>
        <v>41292</v>
      </c>
      <c r="AL42" s="70">
        <f t="shared" si="17"/>
        <v>44285</v>
      </c>
      <c r="AM42" s="70">
        <f t="shared" si="17"/>
        <v>37924</v>
      </c>
      <c r="AN42" s="70">
        <f t="shared" si="17"/>
        <v>38603</v>
      </c>
      <c r="AO42" s="70">
        <f t="shared" si="17"/>
        <v>679</v>
      </c>
      <c r="AP42" s="1"/>
      <c r="AQ42" s="1"/>
      <c r="AR42" s="1"/>
    </row>
    <row r="43" spans="1:44" ht="18" customHeight="1" thickTop="1" x14ac:dyDescent="0.3">
      <c r="E43" s="3"/>
      <c r="F43" s="3"/>
      <c r="G43" s="3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79"/>
      <c r="AN43" s="79"/>
    </row>
    <row r="44" spans="1:44" x14ac:dyDescent="0.3">
      <c r="E44" s="3"/>
      <c r="V44" s="3"/>
    </row>
    <row r="45" spans="1:44" x14ac:dyDescent="0.3">
      <c r="F45" s="3"/>
      <c r="M45" s="3"/>
      <c r="U45" s="3"/>
      <c r="Z45" s="3"/>
    </row>
    <row r="47" spans="1:44" x14ac:dyDescent="0.3">
      <c r="E47" s="74"/>
      <c r="AO47" s="3"/>
    </row>
    <row r="57" spans="3:4" x14ac:dyDescent="0.3">
      <c r="C57" s="10"/>
    </row>
    <row r="59" spans="3:4" x14ac:dyDescent="0.3">
      <c r="D59" s="4"/>
    </row>
    <row r="90" ht="8.25" customHeight="1" x14ac:dyDescent="0.3"/>
    <row r="91" ht="14.25" customHeight="1" x14ac:dyDescent="0.3"/>
  </sheetData>
  <mergeCells count="19">
    <mergeCell ref="C40:D40"/>
    <mergeCell ref="C42:D42"/>
    <mergeCell ref="C24:D24"/>
    <mergeCell ref="A25:A28"/>
    <mergeCell ref="B25:B27"/>
    <mergeCell ref="C29:D29"/>
    <mergeCell ref="A30:A32"/>
    <mergeCell ref="B30:B32"/>
    <mergeCell ref="A33:A34"/>
    <mergeCell ref="A11:A23"/>
    <mergeCell ref="B11:B23"/>
    <mergeCell ref="A4:D4"/>
    <mergeCell ref="C9:D9"/>
    <mergeCell ref="Q9:AB9"/>
    <mergeCell ref="A7:AO7"/>
    <mergeCell ref="A5:AO5"/>
    <mergeCell ref="A6:AO6"/>
    <mergeCell ref="E9:P9"/>
    <mergeCell ref="AC9:AN9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2019-2021</vt:lpstr>
      <vt:lpstr>'PETRÓLEO '!Área_de_impresión</vt:lpstr>
      <vt:lpstr>'PETRÓLEO 2019-2021'!Área_de_impresión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2021-12-10T20:41:55Z</cp:lastPrinted>
  <dcterms:created xsi:type="dcterms:W3CDTF">1997-07-01T22:48:52Z</dcterms:created>
  <dcterms:modified xsi:type="dcterms:W3CDTF">2022-01-14T03:45:16Z</dcterms:modified>
</cp:coreProperties>
</file>